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01.08.202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Z17" i="1" l="1"/>
  <c r="F17" i="1"/>
  <c r="BG16" i="1"/>
  <c r="BC16" i="1"/>
  <c r="AY16" i="1"/>
  <c r="AU16" i="1"/>
  <c r="AQ16" i="1"/>
  <c r="AM16" i="1"/>
  <c r="AE16" i="1"/>
  <c r="AA16" i="1"/>
  <c r="W16" i="1"/>
  <c r="S16" i="1"/>
  <c r="O16" i="1"/>
  <c r="K16" i="1"/>
  <c r="G16" i="1"/>
  <c r="BJ15" i="1"/>
  <c r="BI15" i="1"/>
  <c r="BF15" i="1"/>
  <c r="BE15" i="1"/>
  <c r="AZ15" i="1"/>
  <c r="BA15" i="1" s="1"/>
  <c r="AV15" i="1"/>
  <c r="AX15" i="1" s="1"/>
  <c r="AR15" i="1"/>
  <c r="AS15" i="1" s="1"/>
  <c r="AO15" i="1"/>
  <c r="AN15" i="1"/>
  <c r="AP15" i="1" s="1"/>
  <c r="AJ15" i="1"/>
  <c r="AK15" i="1" s="1"/>
  <c r="AH15" i="1"/>
  <c r="AG15" i="1"/>
  <c r="AD15" i="1"/>
  <c r="AC15" i="1"/>
  <c r="Z15" i="1"/>
  <c r="T15" i="1"/>
  <c r="U15" i="1" s="1"/>
  <c r="R15" i="1"/>
  <c r="Q15" i="1"/>
  <c r="L15" i="1"/>
  <c r="N15" i="1" s="1"/>
  <c r="H15" i="1"/>
  <c r="I15" i="1" s="1"/>
  <c r="C15" i="1"/>
  <c r="BJ14" i="1"/>
  <c r="BI14" i="1"/>
  <c r="BF14" i="1"/>
  <c r="BE14" i="1"/>
  <c r="AZ14" i="1"/>
  <c r="BB14" i="1" s="1"/>
  <c r="AV14" i="1"/>
  <c r="AW14" i="1" s="1"/>
  <c r="AS14" i="1"/>
  <c r="AR14" i="1"/>
  <c r="AT14" i="1" s="1"/>
  <c r="AN14" i="1"/>
  <c r="AO14" i="1" s="1"/>
  <c r="AJ14" i="1"/>
  <c r="AL14" i="1" s="1"/>
  <c r="AH14" i="1"/>
  <c r="AG14" i="1"/>
  <c r="AD14" i="1"/>
  <c r="AC14" i="1"/>
  <c r="Z14" i="1"/>
  <c r="U14" i="1"/>
  <c r="T14" i="1"/>
  <c r="V14" i="1" s="1"/>
  <c r="R14" i="1"/>
  <c r="Q14" i="1"/>
  <c r="L14" i="1"/>
  <c r="M14" i="1" s="1"/>
  <c r="H14" i="1"/>
  <c r="J14" i="1" s="1"/>
  <c r="C14" i="1"/>
  <c r="BJ13" i="1"/>
  <c r="BI13" i="1"/>
  <c r="BF13" i="1"/>
  <c r="BE13" i="1"/>
  <c r="AZ13" i="1"/>
  <c r="BA13" i="1" s="1"/>
  <c r="AW13" i="1"/>
  <c r="AV13" i="1"/>
  <c r="AX13" i="1" s="1"/>
  <c r="AR13" i="1"/>
  <c r="AS13" i="1" s="1"/>
  <c r="AN13" i="1"/>
  <c r="AP13" i="1" s="1"/>
  <c r="AJ13" i="1"/>
  <c r="AK13" i="1" s="1"/>
  <c r="AH13" i="1"/>
  <c r="AG13" i="1"/>
  <c r="AD13" i="1"/>
  <c r="AC13" i="1"/>
  <c r="Z13" i="1"/>
  <c r="T13" i="1"/>
  <c r="U13" i="1" s="1"/>
  <c r="R13" i="1"/>
  <c r="Q13" i="1"/>
  <c r="M13" i="1"/>
  <c r="L13" i="1"/>
  <c r="N13" i="1" s="1"/>
  <c r="H13" i="1"/>
  <c r="I13" i="1" s="1"/>
  <c r="C13" i="1"/>
  <c r="BJ12" i="1"/>
  <c r="BI12" i="1"/>
  <c r="BF12" i="1"/>
  <c r="BE12" i="1"/>
  <c r="BA12" i="1"/>
  <c r="AZ12" i="1"/>
  <c r="BB12" i="1" s="1"/>
  <c r="AV12" i="1"/>
  <c r="AW12" i="1" s="1"/>
  <c r="AR12" i="1"/>
  <c r="AT12" i="1" s="1"/>
  <c r="AN12" i="1"/>
  <c r="AO12" i="1" s="1"/>
  <c r="AK12" i="1"/>
  <c r="AJ12" i="1"/>
  <c r="AL12" i="1" s="1"/>
  <c r="AF12" i="1"/>
  <c r="AG12" i="1" s="1"/>
  <c r="AD12" i="1"/>
  <c r="AC12" i="1"/>
  <c r="Z12" i="1"/>
  <c r="Y12" i="1"/>
  <c r="T12" i="1"/>
  <c r="V12" i="1" s="1"/>
  <c r="R12" i="1"/>
  <c r="Q12" i="1"/>
  <c r="L12" i="1"/>
  <c r="M12" i="1" s="1"/>
  <c r="I12" i="1"/>
  <c r="H12" i="1"/>
  <c r="J12" i="1" s="1"/>
  <c r="D12" i="1"/>
  <c r="E12" i="1" s="1"/>
  <c r="C12" i="1"/>
  <c r="BJ11" i="1"/>
  <c r="BI11" i="1"/>
  <c r="BF11" i="1"/>
  <c r="BE11" i="1"/>
  <c r="AZ11" i="1"/>
  <c r="BA11" i="1" s="1"/>
  <c r="AV11" i="1"/>
  <c r="AX11" i="1" s="1"/>
  <c r="AR11" i="1"/>
  <c r="AS11" i="1" s="1"/>
  <c r="AO11" i="1"/>
  <c r="AN11" i="1"/>
  <c r="AP11" i="1" s="1"/>
  <c r="AJ11" i="1"/>
  <c r="AK11" i="1" s="1"/>
  <c r="AF11" i="1"/>
  <c r="AH11" i="1" s="1"/>
  <c r="AD11" i="1"/>
  <c r="AC11" i="1"/>
  <c r="Z11" i="1"/>
  <c r="Y11" i="1"/>
  <c r="T11" i="1"/>
  <c r="U11" i="1" s="1"/>
  <c r="R11" i="1"/>
  <c r="Q11" i="1"/>
  <c r="M11" i="1"/>
  <c r="L11" i="1"/>
  <c r="N11" i="1" s="1"/>
  <c r="H11" i="1"/>
  <c r="I11" i="1" s="1"/>
  <c r="C11" i="1"/>
  <c r="BJ10" i="1"/>
  <c r="BI10" i="1"/>
  <c r="BF10" i="1"/>
  <c r="BE10" i="1"/>
  <c r="BA10" i="1"/>
  <c r="AZ10" i="1"/>
  <c r="BB10" i="1" s="1"/>
  <c r="AV10" i="1"/>
  <c r="AW10" i="1" s="1"/>
  <c r="AR10" i="1"/>
  <c r="AT10" i="1" s="1"/>
  <c r="AN10" i="1"/>
  <c r="AO10" i="1" s="1"/>
  <c r="AK10" i="1"/>
  <c r="AJ10" i="1"/>
  <c r="AL10" i="1" s="1"/>
  <c r="AF10" i="1"/>
  <c r="AG10" i="1" s="1"/>
  <c r="AD10" i="1"/>
  <c r="AC10" i="1"/>
  <c r="Z10" i="1"/>
  <c r="Y10" i="1"/>
  <c r="T10" i="1"/>
  <c r="V10" i="1" s="1"/>
  <c r="R10" i="1"/>
  <c r="Q10" i="1"/>
  <c r="L10" i="1"/>
  <c r="M10" i="1" s="1"/>
  <c r="I10" i="1"/>
  <c r="H10" i="1"/>
  <c r="J10" i="1" s="1"/>
  <c r="D10" i="1"/>
  <c r="E10" i="1" s="1"/>
  <c r="C10" i="1"/>
  <c r="BJ9" i="1"/>
  <c r="BI9" i="1"/>
  <c r="BF9" i="1"/>
  <c r="BE9" i="1"/>
  <c r="AZ9" i="1"/>
  <c r="BA9" i="1" s="1"/>
  <c r="AV9" i="1"/>
  <c r="AX9" i="1" s="1"/>
  <c r="AR9" i="1"/>
  <c r="AS9" i="1" s="1"/>
  <c r="AO9" i="1"/>
  <c r="AN9" i="1"/>
  <c r="AP9" i="1" s="1"/>
  <c r="AJ9" i="1"/>
  <c r="AK9" i="1" s="1"/>
  <c r="AF9" i="1"/>
  <c r="AH9" i="1" s="1"/>
  <c r="AD9" i="1"/>
  <c r="AC9" i="1"/>
  <c r="Z9" i="1"/>
  <c r="Y9" i="1"/>
  <c r="T9" i="1"/>
  <c r="U9" i="1" s="1"/>
  <c r="R9" i="1"/>
  <c r="Q9" i="1"/>
  <c r="M9" i="1"/>
  <c r="L9" i="1"/>
  <c r="N9" i="1" s="1"/>
  <c r="H9" i="1"/>
  <c r="I9" i="1" s="1"/>
  <c r="C9" i="1"/>
  <c r="BJ8" i="1"/>
  <c r="BI8" i="1"/>
  <c r="BF8" i="1"/>
  <c r="BE8" i="1"/>
  <c r="BA8" i="1"/>
  <c r="AZ8" i="1"/>
  <c r="BB8" i="1" s="1"/>
  <c r="AV8" i="1"/>
  <c r="AV16" i="1" s="1"/>
  <c r="AX16" i="1" s="1"/>
  <c r="AR8" i="1"/>
  <c r="AR16" i="1" s="1"/>
  <c r="AT16" i="1" s="1"/>
  <c r="AN8" i="1"/>
  <c r="AO8" i="1" s="1"/>
  <c r="AK8" i="1"/>
  <c r="AJ8" i="1"/>
  <c r="AL8" i="1" s="1"/>
  <c r="AF8" i="1"/>
  <c r="AG8" i="1" s="1"/>
  <c r="AD8" i="1"/>
  <c r="AC8" i="1"/>
  <c r="Z8" i="1"/>
  <c r="Y8" i="1"/>
  <c r="T8" i="1"/>
  <c r="V8" i="1" s="1"/>
  <c r="R8" i="1"/>
  <c r="Q8" i="1"/>
  <c r="L8" i="1"/>
  <c r="M8" i="1" s="1"/>
  <c r="I8" i="1"/>
  <c r="H8" i="1"/>
  <c r="J8" i="1" s="1"/>
  <c r="D8" i="1"/>
  <c r="E8" i="1" s="1"/>
  <c r="C8" i="1"/>
  <c r="BH7" i="1"/>
  <c r="BH16" i="1" s="1"/>
  <c r="BJ16" i="1" s="1"/>
  <c r="BD7" i="1"/>
  <c r="BD16" i="1" s="1"/>
  <c r="BF16" i="1" s="1"/>
  <c r="AZ7" i="1"/>
  <c r="AX7" i="1"/>
  <c r="AW7" i="1"/>
  <c r="AT7" i="1"/>
  <c r="AS7" i="1"/>
  <c r="AO7" i="1"/>
  <c r="AN7" i="1"/>
  <c r="AN16" i="1" s="1"/>
  <c r="AP16" i="1" s="1"/>
  <c r="AJ7" i="1"/>
  <c r="AJ16" i="1" s="1"/>
  <c r="AL16" i="1" s="1"/>
  <c r="AF7" i="1"/>
  <c r="AH7" i="1" s="1"/>
  <c r="AB7" i="1"/>
  <c r="AC7" i="1" s="1"/>
  <c r="Y7" i="1"/>
  <c r="Y16" i="1" s="1"/>
  <c r="X7" i="1"/>
  <c r="Z7" i="1" s="1"/>
  <c r="T7" i="1"/>
  <c r="U7" i="1" s="1"/>
  <c r="P7" i="1"/>
  <c r="R7" i="1" s="1"/>
  <c r="N7" i="1"/>
  <c r="M7" i="1"/>
  <c r="H7" i="1"/>
  <c r="I7" i="1" s="1"/>
  <c r="C7" i="1"/>
  <c r="C16" i="1" s="1"/>
  <c r="BH6" i="1"/>
  <c r="BD6" i="1"/>
  <c r="AZ6" i="1"/>
  <c r="AV6" i="1"/>
  <c r="AR6" i="1"/>
  <c r="AN6" i="1"/>
  <c r="AJ6" i="1"/>
  <c r="AF6" i="1"/>
  <c r="AB6" i="1"/>
  <c r="X6" i="1"/>
  <c r="T6" i="1"/>
  <c r="P6" i="1"/>
  <c r="L6" i="1"/>
  <c r="H6" i="1"/>
  <c r="D5" i="1"/>
  <c r="B2" i="1"/>
  <c r="AO16" i="1" l="1"/>
  <c r="Q7" i="1"/>
  <c r="Q16" i="1" s="1"/>
  <c r="AC16" i="1"/>
  <c r="AG7" i="1"/>
  <c r="AZ16" i="1"/>
  <c r="BB16" i="1" s="1"/>
  <c r="BE7" i="1"/>
  <c r="BE16" i="1" s="1"/>
  <c r="U8" i="1"/>
  <c r="U16" i="1" s="1"/>
  <c r="AS8" i="1"/>
  <c r="AS16" i="1" s="1"/>
  <c r="AG9" i="1"/>
  <c r="AW9" i="1"/>
  <c r="U10" i="1"/>
  <c r="AS10" i="1"/>
  <c r="AG11" i="1"/>
  <c r="AW11" i="1"/>
  <c r="U12" i="1"/>
  <c r="AS12" i="1"/>
  <c r="AO13" i="1"/>
  <c r="D14" i="1"/>
  <c r="E14" i="1" s="1"/>
  <c r="I14" i="1"/>
  <c r="AK14" i="1"/>
  <c r="BA14" i="1"/>
  <c r="M15" i="1"/>
  <c r="M16" i="1" s="1"/>
  <c r="AW15" i="1"/>
  <c r="I16" i="1"/>
  <c r="AG16" i="1"/>
  <c r="J7" i="1"/>
  <c r="V7" i="1"/>
  <c r="AD7" i="1"/>
  <c r="AL7" i="1"/>
  <c r="BB7" i="1"/>
  <c r="BJ7" i="1"/>
  <c r="F8" i="1"/>
  <c r="N8" i="1"/>
  <c r="AH8" i="1"/>
  <c r="AP8" i="1"/>
  <c r="AX8" i="1"/>
  <c r="J9" i="1"/>
  <c r="V9" i="1"/>
  <c r="AL9" i="1"/>
  <c r="AT9" i="1"/>
  <c r="BB9" i="1"/>
  <c r="F10" i="1"/>
  <c r="N10" i="1"/>
  <c r="AH10" i="1"/>
  <c r="AP10" i="1"/>
  <c r="AX10" i="1"/>
  <c r="J11" i="1"/>
  <c r="V11" i="1"/>
  <c r="AL11" i="1"/>
  <c r="AT11" i="1"/>
  <c r="BB11" i="1"/>
  <c r="F12" i="1"/>
  <c r="N12" i="1"/>
  <c r="AH12" i="1"/>
  <c r="AP12" i="1"/>
  <c r="AX12" i="1"/>
  <c r="J13" i="1"/>
  <c r="V13" i="1"/>
  <c r="AL13" i="1"/>
  <c r="AT13" i="1"/>
  <c r="BB13" i="1"/>
  <c r="F14" i="1"/>
  <c r="N14" i="1"/>
  <c r="AP14" i="1"/>
  <c r="AX14" i="1"/>
  <c r="J15" i="1"/>
  <c r="V15" i="1"/>
  <c r="AL15" i="1"/>
  <c r="AT15" i="1"/>
  <c r="BB15" i="1"/>
  <c r="H16" i="1"/>
  <c r="J16" i="1" s="1"/>
  <c r="L16" i="1"/>
  <c r="N16" i="1" s="1"/>
  <c r="P16" i="1"/>
  <c r="R16" i="1" s="1"/>
  <c r="T16" i="1"/>
  <c r="V16" i="1" s="1"/>
  <c r="X16" i="1"/>
  <c r="Z16" i="1" s="1"/>
  <c r="AB16" i="1"/>
  <c r="AD16" i="1" s="1"/>
  <c r="AF16" i="1"/>
  <c r="D7" i="1"/>
  <c r="AK7" i="1"/>
  <c r="AP7" i="1"/>
  <c r="BA7" i="1"/>
  <c r="BA16" i="1" s="1"/>
  <c r="BF7" i="1"/>
  <c r="BI7" i="1"/>
  <c r="BI16" i="1" s="1"/>
  <c r="AT8" i="1"/>
  <c r="AW8" i="1"/>
  <c r="D9" i="1"/>
  <c r="D11" i="1"/>
  <c r="D13" i="1"/>
  <c r="D15" i="1"/>
  <c r="AW16" i="1" l="1"/>
  <c r="AK16" i="1"/>
  <c r="F13" i="1"/>
  <c r="E13" i="1"/>
  <c r="F15" i="1"/>
  <c r="E15" i="1"/>
  <c r="F11" i="1"/>
  <c r="E11" i="1"/>
  <c r="AH16" i="1"/>
  <c r="F9" i="1"/>
  <c r="E9" i="1"/>
  <c r="F7" i="1"/>
  <c r="D16" i="1"/>
  <c r="F16" i="1" s="1"/>
  <c r="E7" i="1"/>
  <c r="E16" i="1" l="1"/>
</calcChain>
</file>

<file path=xl/sharedStrings.xml><?xml version="1.0" encoding="utf-8"?>
<sst xmlns="http://schemas.openxmlformats.org/spreadsheetml/2006/main" count="76" uniqueCount="35">
  <si>
    <t xml:space="preserve">                                      Анализ недоимки по налоговым платежам, зачисляемым в бюджеты </t>
  </si>
  <si>
    <t>тыс. руб.</t>
  </si>
  <si>
    <t>Муниципальное образование</t>
  </si>
  <si>
    <t>Всего</t>
  </si>
  <si>
    <t>на 01.01.2021</t>
  </si>
  <si>
    <t>отклонение</t>
  </si>
  <si>
    <t>% роста, снижения по сравнению с 01.01.2021</t>
  </si>
  <si>
    <t>Налог на доходы физических лиц</t>
  </si>
  <si>
    <t>Акцизы на сидр, пуаре, медовуху, производимые на территории Российской Федерации</t>
  </si>
  <si>
    <t>Налог, взимаемый в связи с применением упрощенной системы налогообложения</t>
  </si>
  <si>
    <t xml:space="preserve">Единый сельскохозяйственный налог </t>
  </si>
  <si>
    <t>Единый налог на вмененный доход</t>
  </si>
  <si>
    <t>Налог, взимаемый в связи с применением патентной системы налогообложения</t>
  </si>
  <si>
    <t>Транспортный налог с физических лиц</t>
  </si>
  <si>
    <t>Земельный налог, в том числе: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</si>
  <si>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</si>
  <si>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</si>
  <si>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</si>
  <si>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Налог на имущество физических лиц</t>
  </si>
  <si>
    <t>Налог на добычу полезных ископаемых</t>
  </si>
  <si>
    <t>Прочие местные налоги (отмененные)</t>
  </si>
  <si>
    <t>ОКАТО</t>
  </si>
  <si>
    <t xml:space="preserve">% </t>
  </si>
  <si>
    <t>Петушинский район</t>
  </si>
  <si>
    <t>п.Вольгинский</t>
  </si>
  <si>
    <t>п.Городищи</t>
  </si>
  <si>
    <t>г.Костерево</t>
  </si>
  <si>
    <t>г.Петушки</t>
  </si>
  <si>
    <t>г.Покров</t>
  </si>
  <si>
    <t>п.Нагорное;</t>
  </si>
  <si>
    <t>п.Пекшинское;</t>
  </si>
  <si>
    <t>п.Петушинское</t>
  </si>
  <si>
    <t>Итого Петушинский р-н</t>
  </si>
  <si>
    <t xml:space="preserve"> 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</si>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</sst>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14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49" fontId="1" fillId="0" borderId="7" xfId="0" applyNumberFormat="1" applyFont="1" applyFill="1" applyBorder="1"/>
    <xf numFmtId="1" fontId="1" fillId="0" borderId="7" xfId="0" applyNumberFormat="1" applyFont="1" applyFill="1" applyBorder="1"/>
    <xf numFmtId="164" fontId="1" fillId="0" borderId="7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49" fontId="7" fillId="2" borderId="7" xfId="0" applyNumberFormat="1" applyFont="1" applyFill="1" applyBorder="1"/>
    <xf numFmtId="0" fontId="7" fillId="2" borderId="7" xfId="0" applyFont="1" applyFill="1" applyBorder="1"/>
    <xf numFmtId="1" fontId="7" fillId="2" borderId="7" xfId="0" applyNumberFormat="1" applyFont="1" applyFill="1" applyBorder="1"/>
    <xf numFmtId="164" fontId="7" fillId="2" borderId="7" xfId="0" applyNumberFormat="1" applyFont="1" applyFill="1" applyBorder="1" applyAlignment="1">
      <alignment horizontal="right"/>
    </xf>
    <xf numFmtId="0" fontId="7" fillId="2" borderId="0" xfId="0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/>
    <xf numFmtId="0" fontId="9" fillId="0" borderId="0" xfId="0" applyFont="1" applyFill="1"/>
    <xf numFmtId="22" fontId="8" fillId="0" borderId="0" xfId="0" applyNumberFormat="1" applyFont="1" applyFill="1"/>
    <xf numFmtId="0" fontId="8" fillId="0" borderId="0" xfId="0" applyFont="1" applyFill="1"/>
    <xf numFmtId="1" fontId="8" fillId="0" borderId="0" xfId="0" applyNumberFormat="1" applyFont="1" applyFill="1"/>
    <xf numFmtId="1" fontId="1" fillId="0" borderId="0" xfId="0" applyNumberFormat="1" applyFont="1" applyFill="1"/>
    <xf numFmtId="0" fontId="0" fillId="0" borderId="0" xfId="0" applyFill="1"/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doimka_010821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Лист1"/>
      <sheetName val="МО"/>
      <sheetName val="01.07.2017 "/>
      <sheetName val="01.08.2021"/>
    </sheetNames>
    <sheetDataSet>
      <sheetData sheetId="0"/>
      <sheetData sheetId="1"/>
      <sheetData sheetId="2">
        <row r="93">
          <cell r="C93">
            <v>27330.48806</v>
          </cell>
          <cell r="D93">
            <v>1254.0006699999999</v>
          </cell>
          <cell r="E93">
            <v>2148.5313900000001</v>
          </cell>
          <cell r="F93">
            <v>0</v>
          </cell>
          <cell r="G93">
            <v>0.01</v>
          </cell>
          <cell r="H93">
            <v>1018.0826800000001</v>
          </cell>
          <cell r="AK93">
            <v>0</v>
          </cell>
          <cell r="AL93">
            <v>0</v>
          </cell>
          <cell r="AM93">
            <v>0</v>
          </cell>
          <cell r="AO93">
            <v>0.18099000000000001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V93">
            <v>0</v>
          </cell>
          <cell r="AW93">
            <v>347.09050000000002</v>
          </cell>
          <cell r="AX93">
            <v>2237.8859900000002</v>
          </cell>
          <cell r="AY93">
            <v>0</v>
          </cell>
          <cell r="AZ93">
            <v>538.49368000000004</v>
          </cell>
          <cell r="BA93">
            <v>0.433</v>
          </cell>
          <cell r="BB93">
            <v>0</v>
          </cell>
          <cell r="BC93">
            <v>420.25799999999998</v>
          </cell>
          <cell r="BD93">
            <v>0</v>
          </cell>
        </row>
        <row r="94"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C95">
            <v>1500.9681799999998</v>
          </cell>
          <cell r="D95">
            <v>421.78199999999998</v>
          </cell>
          <cell r="E95">
            <v>643.48400000000004</v>
          </cell>
          <cell r="F95">
            <v>0</v>
          </cell>
          <cell r="K95">
            <v>8958.6620800000001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2817.76757</v>
          </cell>
          <cell r="Q95">
            <v>0</v>
          </cell>
          <cell r="R95">
            <v>0</v>
          </cell>
          <cell r="S95">
            <v>0</v>
          </cell>
          <cell r="T95">
            <v>5000.8031799999999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1064.33996</v>
          </cell>
          <cell r="AS95">
            <v>0</v>
          </cell>
          <cell r="AU95">
            <v>0</v>
          </cell>
          <cell r="BE95">
            <v>0</v>
          </cell>
        </row>
        <row r="96">
          <cell r="C96">
            <v>934.35113000000001</v>
          </cell>
          <cell r="D96">
            <v>80.667000000000002</v>
          </cell>
          <cell r="E96">
            <v>128.93677</v>
          </cell>
          <cell r="F96">
            <v>0</v>
          </cell>
          <cell r="K96">
            <v>3990.8990600000002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1367.7516799999999</v>
          </cell>
          <cell r="Q96">
            <v>0</v>
          </cell>
          <cell r="R96">
            <v>0</v>
          </cell>
          <cell r="S96">
            <v>0</v>
          </cell>
          <cell r="T96">
            <v>1400.06477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359.82514000000003</v>
          </cell>
          <cell r="AS96">
            <v>0</v>
          </cell>
          <cell r="AU96">
            <v>2.556</v>
          </cell>
          <cell r="BE96">
            <v>0</v>
          </cell>
        </row>
        <row r="97">
          <cell r="C97">
            <v>4437.8400700000002</v>
          </cell>
          <cell r="D97">
            <v>51.188949999999998</v>
          </cell>
          <cell r="E97">
            <v>237.08292</v>
          </cell>
          <cell r="F97">
            <v>0</v>
          </cell>
          <cell r="K97">
            <v>10716.19966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3402.58709</v>
          </cell>
          <cell r="Q97">
            <v>0</v>
          </cell>
          <cell r="R97">
            <v>0</v>
          </cell>
          <cell r="S97">
            <v>0</v>
          </cell>
          <cell r="T97">
            <v>2824.1321400000002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1031.56421</v>
          </cell>
          <cell r="AS97">
            <v>0</v>
          </cell>
          <cell r="AU97">
            <v>8.4600000000000009</v>
          </cell>
          <cell r="BE97">
            <v>0</v>
          </cell>
        </row>
        <row r="98">
          <cell r="C98">
            <v>15578.382529999999</v>
          </cell>
          <cell r="D98">
            <v>521.89599999999996</v>
          </cell>
          <cell r="E98">
            <v>131.00719000000001</v>
          </cell>
          <cell r="F98">
            <v>0</v>
          </cell>
          <cell r="K98">
            <v>2303.2639900000004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4546.89599</v>
          </cell>
          <cell r="Q98">
            <v>0</v>
          </cell>
          <cell r="R98">
            <v>0</v>
          </cell>
          <cell r="S98">
            <v>0</v>
          </cell>
          <cell r="T98">
            <v>193.80814999999998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326.56478999999996</v>
          </cell>
          <cell r="AS98">
            <v>0</v>
          </cell>
          <cell r="AU98">
            <v>6.6463299999999998</v>
          </cell>
          <cell r="BE98">
            <v>0</v>
          </cell>
        </row>
        <row r="99">
          <cell r="C99">
            <v>1442.4428700000001</v>
          </cell>
          <cell r="D99">
            <v>136.69399999999999</v>
          </cell>
          <cell r="E99">
            <v>34.382629999999999</v>
          </cell>
          <cell r="F99">
            <v>0</v>
          </cell>
          <cell r="K99">
            <v>2937.7237599999999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2005.1764699999999</v>
          </cell>
          <cell r="Q99">
            <v>0</v>
          </cell>
          <cell r="R99">
            <v>0</v>
          </cell>
          <cell r="S99">
            <v>0</v>
          </cell>
          <cell r="T99">
            <v>551.36781999999994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216.66414</v>
          </cell>
          <cell r="AS99">
            <v>0</v>
          </cell>
          <cell r="AU99">
            <v>0</v>
          </cell>
          <cell r="BE99">
            <v>0</v>
          </cell>
        </row>
        <row r="100">
          <cell r="C100">
            <v>2396.8589999999999</v>
          </cell>
          <cell r="D100">
            <v>1.133</v>
          </cell>
          <cell r="E100">
            <v>282.25188000000003</v>
          </cell>
          <cell r="F100">
            <v>0</v>
          </cell>
          <cell r="K100">
            <v>4237.4536600000001</v>
          </cell>
          <cell r="L100">
            <v>0</v>
          </cell>
          <cell r="M100">
            <v>0</v>
          </cell>
          <cell r="N100">
            <v>0</v>
          </cell>
          <cell r="O100">
            <v>1909.0087800000001</v>
          </cell>
          <cell r="P100">
            <v>0</v>
          </cell>
          <cell r="Q100">
            <v>0</v>
          </cell>
          <cell r="R100">
            <v>0</v>
          </cell>
          <cell r="S100">
            <v>10417.228140000001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1065.06403</v>
          </cell>
          <cell r="AD100">
            <v>0</v>
          </cell>
          <cell r="AS100">
            <v>0</v>
          </cell>
          <cell r="AU100">
            <v>0</v>
          </cell>
          <cell r="BE100">
            <v>0</v>
          </cell>
        </row>
        <row r="101">
          <cell r="C101">
            <v>613.19326000000001</v>
          </cell>
          <cell r="D101">
            <v>31.202000000000002</v>
          </cell>
          <cell r="E101">
            <v>188.96899999999999</v>
          </cell>
          <cell r="F101">
            <v>0</v>
          </cell>
          <cell r="K101">
            <v>3004.1755200000002</v>
          </cell>
          <cell r="L101">
            <v>0</v>
          </cell>
          <cell r="M101">
            <v>0</v>
          </cell>
          <cell r="N101">
            <v>0</v>
          </cell>
          <cell r="O101">
            <v>3379.6727099999998</v>
          </cell>
          <cell r="P101">
            <v>0</v>
          </cell>
          <cell r="Q101">
            <v>0</v>
          </cell>
          <cell r="R101">
            <v>0</v>
          </cell>
          <cell r="S101">
            <v>11948.61959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1485.4574700000001</v>
          </cell>
          <cell r="AD101">
            <v>0</v>
          </cell>
          <cell r="AS101">
            <v>0</v>
          </cell>
          <cell r="AU101">
            <v>0.42</v>
          </cell>
          <cell r="BE101">
            <v>0</v>
          </cell>
        </row>
        <row r="102">
          <cell r="C102">
            <v>426.45102000000003</v>
          </cell>
          <cell r="D102">
            <v>9.4377199999999988</v>
          </cell>
          <cell r="E102">
            <v>502.41699999999997</v>
          </cell>
          <cell r="F102">
            <v>0</v>
          </cell>
          <cell r="K102">
            <v>3299.1163799999999</v>
          </cell>
          <cell r="L102">
            <v>0</v>
          </cell>
          <cell r="M102">
            <v>0</v>
          </cell>
          <cell r="N102">
            <v>0</v>
          </cell>
          <cell r="O102">
            <v>4995.0712699999995</v>
          </cell>
          <cell r="P102">
            <v>0</v>
          </cell>
          <cell r="Q102">
            <v>0</v>
          </cell>
          <cell r="R102">
            <v>0</v>
          </cell>
          <cell r="S102">
            <v>8346.1041399999995</v>
          </cell>
          <cell r="T102">
            <v>0</v>
          </cell>
          <cell r="U102">
            <v>0</v>
          </cell>
          <cell r="V102">
            <v>2.742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479.15843000000001</v>
          </cell>
          <cell r="AD102">
            <v>0</v>
          </cell>
          <cell r="AS102">
            <v>0</v>
          </cell>
          <cell r="AU102">
            <v>1.2</v>
          </cell>
          <cell r="BE102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"/>
  <sheetViews>
    <sheetView tabSelected="1" workbookViewId="0">
      <selection activeCell="C18" sqref="C18:W18"/>
    </sheetView>
  </sheetViews>
  <sheetFormatPr defaultRowHeight="12.75" x14ac:dyDescent="0.2"/>
  <cols>
    <col min="1" max="1" width="9.140625" style="1"/>
    <col min="2" max="2" width="22.28515625" style="1" customWidth="1"/>
    <col min="3" max="3" width="10.85546875" style="1" customWidth="1"/>
    <col min="4" max="6" width="9.140625" style="1"/>
    <col min="7" max="7" width="10" style="1" customWidth="1"/>
    <col min="8" max="10" width="9.140625" style="1"/>
    <col min="11" max="11" width="10.85546875" style="1" customWidth="1"/>
    <col min="12" max="14" width="9.140625" style="1"/>
    <col min="15" max="15" width="11.140625" style="1" customWidth="1"/>
    <col min="16" max="18" width="9.140625" style="1"/>
    <col min="19" max="19" width="10.28515625" style="1" customWidth="1"/>
    <col min="20" max="22" width="9.140625" style="1"/>
    <col min="23" max="23" width="10.42578125" style="1" customWidth="1"/>
    <col min="24" max="26" width="9.140625" style="1"/>
    <col min="27" max="27" width="10.42578125" style="1" customWidth="1"/>
    <col min="28" max="31" width="9.140625" style="1"/>
    <col min="32" max="32" width="11.7109375" style="1" customWidth="1"/>
    <col min="33" max="16384" width="9.140625" style="1"/>
  </cols>
  <sheetData>
    <row r="1" spans="1:62" ht="20.25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2" s="3" customFormat="1" ht="20.25" x14ac:dyDescent="0.25">
      <c r="B2" s="4" t="str">
        <f>"                                     муниципальных образований по состоянию на 01.01.2021 г. и 01."&amp;$B$18&amp;"."&amp;$B$19&amp;" г."</f>
        <v xml:space="preserve">                                     муниципальных образований по состоянию на 01.01.2021 г. и 01.08. г.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6"/>
      <c r="BD2" s="5"/>
      <c r="BE2" s="5"/>
      <c r="BF2" s="5"/>
      <c r="BG2" s="6"/>
      <c r="BH2" s="6"/>
      <c r="BI2" s="6"/>
    </row>
    <row r="3" spans="1:62" ht="20.25" x14ac:dyDescent="0.3">
      <c r="A3" s="7"/>
      <c r="B3" s="8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 t="s">
        <v>1</v>
      </c>
      <c r="U3" s="10"/>
      <c r="V3" s="10"/>
      <c r="W3" s="10"/>
      <c r="X3" s="10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  <c r="AZ3" s="13"/>
      <c r="BB3" s="13"/>
      <c r="BC3" s="14"/>
      <c r="BD3" s="13"/>
      <c r="BE3" s="10"/>
      <c r="BF3" s="10"/>
      <c r="BG3" s="14"/>
      <c r="BH3" s="14"/>
      <c r="BI3" s="14"/>
    </row>
    <row r="4" spans="1:62" x14ac:dyDescent="0.2">
      <c r="A4" s="15"/>
      <c r="B4" s="43" t="s">
        <v>2</v>
      </c>
      <c r="C4" s="42" t="s">
        <v>3</v>
      </c>
      <c r="D4" s="40"/>
      <c r="E4" s="40"/>
      <c r="F4" s="41"/>
      <c r="G4" s="16"/>
      <c r="H4" s="16"/>
      <c r="I4" s="16"/>
      <c r="J4" s="16"/>
      <c r="K4" s="16"/>
      <c r="L4" s="16"/>
      <c r="M4" s="16"/>
      <c r="N4" s="16"/>
      <c r="O4" s="42">
        <v>0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1"/>
    </row>
    <row r="5" spans="1:62" x14ac:dyDescent="0.2">
      <c r="A5" s="17"/>
      <c r="B5" s="44"/>
      <c r="C5" s="46" t="s">
        <v>4</v>
      </c>
      <c r="D5" s="46" t="str">
        <f>"на 01."&amp;$B$18&amp;"."&amp;$B$19</f>
        <v>на 01.08.</v>
      </c>
      <c r="E5" s="48" t="s">
        <v>5</v>
      </c>
      <c r="F5" s="48" t="s">
        <v>6</v>
      </c>
      <c r="G5" s="42" t="s">
        <v>7</v>
      </c>
      <c r="H5" s="40"/>
      <c r="I5" s="40"/>
      <c r="J5" s="41"/>
      <c r="K5" s="39" t="s">
        <v>8</v>
      </c>
      <c r="L5" s="40"/>
      <c r="M5" s="40"/>
      <c r="N5" s="41"/>
      <c r="O5" s="42" t="s">
        <v>9</v>
      </c>
      <c r="P5" s="40"/>
      <c r="Q5" s="40"/>
      <c r="R5" s="41"/>
      <c r="S5" s="42" t="s">
        <v>10</v>
      </c>
      <c r="T5" s="40"/>
      <c r="U5" s="40"/>
      <c r="V5" s="41"/>
      <c r="W5" s="42" t="s">
        <v>11</v>
      </c>
      <c r="X5" s="40"/>
      <c r="Y5" s="40"/>
      <c r="Z5" s="41"/>
      <c r="AA5" s="42" t="s">
        <v>12</v>
      </c>
      <c r="AB5" s="40"/>
      <c r="AC5" s="40"/>
      <c r="AD5" s="41"/>
      <c r="AE5" s="39" t="s">
        <v>13</v>
      </c>
      <c r="AF5" s="40"/>
      <c r="AG5" s="40"/>
      <c r="AH5" s="41"/>
      <c r="AI5" s="42" t="s">
        <v>14</v>
      </c>
      <c r="AJ5" s="40"/>
      <c r="AK5" s="40"/>
      <c r="AL5" s="41"/>
      <c r="AM5" s="42" t="s">
        <v>15</v>
      </c>
      <c r="AN5" s="40"/>
      <c r="AO5" s="40"/>
      <c r="AP5" s="41"/>
      <c r="AQ5" s="42" t="s">
        <v>16</v>
      </c>
      <c r="AR5" s="40"/>
      <c r="AS5" s="40"/>
      <c r="AT5" s="41"/>
      <c r="AU5" s="42" t="s">
        <v>17</v>
      </c>
      <c r="AV5" s="40"/>
      <c r="AW5" s="40"/>
      <c r="AX5" s="41"/>
      <c r="AY5" s="42" t="s">
        <v>18</v>
      </c>
      <c r="AZ5" s="40"/>
      <c r="BA5" s="40"/>
      <c r="BB5" s="41"/>
      <c r="BC5" s="39" t="s">
        <v>19</v>
      </c>
      <c r="BD5" s="40"/>
      <c r="BE5" s="40"/>
      <c r="BF5" s="41"/>
      <c r="BG5" s="42" t="s">
        <v>20</v>
      </c>
      <c r="BH5" s="40"/>
      <c r="BI5" s="40"/>
      <c r="BJ5" s="41"/>
    </row>
    <row r="6" spans="1:62" ht="36" x14ac:dyDescent="0.2">
      <c r="A6" s="17" t="s">
        <v>21</v>
      </c>
      <c r="B6" s="45"/>
      <c r="C6" s="47"/>
      <c r="D6" s="47"/>
      <c r="E6" s="49"/>
      <c r="F6" s="49"/>
      <c r="G6" s="18" t="s">
        <v>4</v>
      </c>
      <c r="H6" s="18" t="str">
        <f>"на 01."&amp;$B$18&amp;"."&amp;$B$19</f>
        <v>на 01.08.</v>
      </c>
      <c r="I6" s="19" t="s">
        <v>5</v>
      </c>
      <c r="J6" s="19" t="s">
        <v>22</v>
      </c>
      <c r="K6" s="18" t="s">
        <v>4</v>
      </c>
      <c r="L6" s="18" t="str">
        <f>"на 01."&amp;$B$18&amp;"."&amp;$B$19</f>
        <v>на 01.08.</v>
      </c>
      <c r="M6" s="19" t="s">
        <v>5</v>
      </c>
      <c r="N6" s="19" t="s">
        <v>22</v>
      </c>
      <c r="O6" s="18" t="s">
        <v>4</v>
      </c>
      <c r="P6" s="18" t="str">
        <f>"на 01."&amp;$B$18&amp;"."&amp;$B$19</f>
        <v>на 01.08.</v>
      </c>
      <c r="Q6" s="19" t="s">
        <v>5</v>
      </c>
      <c r="R6" s="19" t="s">
        <v>22</v>
      </c>
      <c r="S6" s="18" t="s">
        <v>4</v>
      </c>
      <c r="T6" s="18" t="str">
        <f>"на 01."&amp;$B$18&amp;"."&amp;$B$19</f>
        <v>на 01.08.</v>
      </c>
      <c r="U6" s="20" t="s">
        <v>5</v>
      </c>
      <c r="V6" s="19" t="s">
        <v>22</v>
      </c>
      <c r="W6" s="18" t="s">
        <v>4</v>
      </c>
      <c r="X6" s="18" t="str">
        <f>"на 01."&amp;$B$18&amp;"."&amp;$B$19</f>
        <v>на 01.08.</v>
      </c>
      <c r="Y6" s="19" t="s">
        <v>5</v>
      </c>
      <c r="Z6" s="19" t="s">
        <v>22</v>
      </c>
      <c r="AA6" s="18" t="s">
        <v>4</v>
      </c>
      <c r="AB6" s="18" t="str">
        <f>"на 01."&amp;$B$18&amp;"."&amp;$B$19</f>
        <v>на 01.08.</v>
      </c>
      <c r="AC6" s="19" t="s">
        <v>5</v>
      </c>
      <c r="AD6" s="19" t="s">
        <v>22</v>
      </c>
      <c r="AE6" s="18" t="s">
        <v>4</v>
      </c>
      <c r="AF6" s="18" t="str">
        <f>"на 01."&amp;$B$18&amp;"."&amp;$B$19</f>
        <v>на 01.08.</v>
      </c>
      <c r="AG6" s="19" t="s">
        <v>5</v>
      </c>
      <c r="AH6" s="19" t="s">
        <v>22</v>
      </c>
      <c r="AI6" s="18" t="s">
        <v>4</v>
      </c>
      <c r="AJ6" s="18" t="str">
        <f>"на 01."&amp;$B$18&amp;"."&amp;$B$19</f>
        <v>на 01.08.</v>
      </c>
      <c r="AK6" s="19" t="s">
        <v>5</v>
      </c>
      <c r="AL6" s="19" t="s">
        <v>22</v>
      </c>
      <c r="AM6" s="18" t="s">
        <v>4</v>
      </c>
      <c r="AN6" s="18" t="str">
        <f>"на 01."&amp;$B$18&amp;"."&amp;$B$19</f>
        <v>на 01.08.</v>
      </c>
      <c r="AO6" s="19" t="s">
        <v>5</v>
      </c>
      <c r="AP6" s="19" t="s">
        <v>22</v>
      </c>
      <c r="AQ6" s="18" t="s">
        <v>4</v>
      </c>
      <c r="AR6" s="18" t="str">
        <f>"на 01."&amp;$B$18&amp;"."&amp;$B$19</f>
        <v>на 01.08.</v>
      </c>
      <c r="AS6" s="19" t="s">
        <v>5</v>
      </c>
      <c r="AT6" s="19" t="s">
        <v>22</v>
      </c>
      <c r="AU6" s="18" t="s">
        <v>4</v>
      </c>
      <c r="AV6" s="18" t="str">
        <f>"на 01."&amp;$B$18&amp;"."&amp;$B$19</f>
        <v>на 01.08.</v>
      </c>
      <c r="AW6" s="19" t="s">
        <v>5</v>
      </c>
      <c r="AX6" s="19" t="s">
        <v>22</v>
      </c>
      <c r="AY6" s="18" t="s">
        <v>4</v>
      </c>
      <c r="AZ6" s="18" t="str">
        <f>"на 01."&amp;$B$18&amp;"."&amp;$B$19</f>
        <v>на 01.08.</v>
      </c>
      <c r="BA6" s="19" t="s">
        <v>5</v>
      </c>
      <c r="BB6" s="19" t="s">
        <v>22</v>
      </c>
      <c r="BC6" s="18" t="s">
        <v>4</v>
      </c>
      <c r="BD6" s="18" t="str">
        <f>"на 01."&amp;$B$18&amp;"."&amp;$B$19</f>
        <v>на 01.08.</v>
      </c>
      <c r="BE6" s="19" t="s">
        <v>5</v>
      </c>
      <c r="BF6" s="19" t="s">
        <v>22</v>
      </c>
      <c r="BG6" s="18" t="s">
        <v>4</v>
      </c>
      <c r="BH6" s="18" t="str">
        <f>"на 01."&amp;$B$18&amp;"."&amp;$B$19</f>
        <v>на 01.08.</v>
      </c>
      <c r="BI6" s="19" t="s">
        <v>5</v>
      </c>
      <c r="BJ6" s="19" t="s">
        <v>22</v>
      </c>
    </row>
    <row r="7" spans="1:62" x14ac:dyDescent="0.2">
      <c r="A7" s="21"/>
      <c r="B7" s="17" t="s">
        <v>23</v>
      </c>
      <c r="C7" s="22">
        <f t="shared" ref="C7:D15" si="0">G7+K7+O7+S7+W7+AA7+AE7+AI7+AY7+BC7+BG7</f>
        <v>16504.005572720002</v>
      </c>
      <c r="D7" s="22">
        <f t="shared" si="0"/>
        <v>20233.208993960005</v>
      </c>
      <c r="E7" s="22">
        <f t="shared" ref="E7:E15" si="1">D7-C7</f>
        <v>3729.2034212400031</v>
      </c>
      <c r="F7" s="23">
        <f t="shared" ref="F7:F12" si="2">IF(ISERROR(D7/C7*100),,IF(D7&lt;1,,IF(D7/C7*100&lt;0,,IF(D7/C7*100&gt;200,"св.200",D7/C7*100))))</f>
        <v>122.59574746753674</v>
      </c>
      <c r="G7" s="22">
        <v>7286.0593503999989</v>
      </c>
      <c r="H7" s="22">
        <f>SUM([1]МО!$C$93:$E$93)*0.38+SUM([1]МО!$C$100:$E$102)*0.08+[1]МО!F93*0.37+SUM([1]МО!F100:F102)*0.07</f>
        <v>12034.700756</v>
      </c>
      <c r="I7" s="22">
        <f t="shared" ref="I7:I15" si="3">H7-G7</f>
        <v>4748.6414056000012</v>
      </c>
      <c r="J7" s="23">
        <f t="shared" ref="J7:J16" si="4">IF(ISERROR(H7/G7*100),,IF(H7&lt;0.5,,IF(H7/G7*100&lt;0,,IF(H7/G7*100&gt;200,"св.200",H7/G7*100))))</f>
        <v>165.17434428171799</v>
      </c>
      <c r="K7" s="23"/>
      <c r="L7" s="22"/>
      <c r="M7" s="22">
        <f t="shared" ref="M7:M15" si="5">L7-K7</f>
        <v>0</v>
      </c>
      <c r="N7" s="23">
        <f t="shared" ref="N7:N16" si="6">IF(ISERROR(L7/K7*100),,IF(L7&lt;0.5,,IF(L7/K7*100&lt;0,,IF(L7/K7*100&gt;200,"св.200",L7/K7*100))))</f>
        <v>0</v>
      </c>
      <c r="O7" s="24">
        <v>940.25111231999983</v>
      </c>
      <c r="P7" s="22">
        <f>([1]МО!AX93+[1]МО!AY93*0.9+[1]МО!AZ93+[1]МО!BA93*0.9+[1]МО!BB93)*0.408</f>
        <v>1132.9219029600001</v>
      </c>
      <c r="Q7" s="23">
        <f t="shared" ref="Q7:Q15" si="7">P7-O7</f>
        <v>192.67079064000029</v>
      </c>
      <c r="R7" s="23">
        <f t="shared" ref="R7:R12" si="8">IF(ISERROR(P7/O7*100),,IF(P7&lt;1,,IF(P7/O7*100&lt;0,,IF(P7/O7*100&gt;200,"св.200",P7/O7*100))))</f>
        <v>120.49141852803548</v>
      </c>
      <c r="S7" s="22">
        <v>6.5148000000000001</v>
      </c>
      <c r="T7" s="22">
        <f>[1]МО!$AS$93*0.3+SUM([1]МО!AU95:AU99)*0.5+SUM([1]МО!AU100:AU102)*0.7</f>
        <v>9.9651650000000007</v>
      </c>
      <c r="U7" s="22">
        <f t="shared" ref="U7:U15" si="9">T7-S7</f>
        <v>3.4503650000000006</v>
      </c>
      <c r="V7" s="23">
        <f t="shared" ref="V7:V16" si="10">IF(ISERROR(T7/S7*100),,IF(T7&lt;1,,IF(T7/S7*100&lt;0,,IF(T7/S7*100&gt;200,"св.200",T7/S7*100))))</f>
        <v>152.96194817952968</v>
      </c>
      <c r="W7" s="22">
        <v>1416.41632</v>
      </c>
      <c r="X7" s="22">
        <f>[1]МО!$G$93*0.9+[1]МО!$AR$93*0.9+[1]МО!$H$93</f>
        <v>1018.0916800000001</v>
      </c>
      <c r="Y7" s="22">
        <f t="shared" ref="Y7:Y12" si="11">X7-W7</f>
        <v>-398.32463999999993</v>
      </c>
      <c r="Z7" s="23">
        <f t="shared" ref="Z7:Z12" si="12">IF(ISERROR(X7/W7*100),,IF(X7&lt;1,,IF(X7/W7*100&lt;0,,IF(X7/W7*100&gt;200,"св.200",X7/W7*100))))</f>
        <v>71.877997000204005</v>
      </c>
      <c r="AA7" s="22">
        <v>66.950999999999993</v>
      </c>
      <c r="AB7" s="22">
        <f>[1]МО!$AV$93+[1]МО!$AW$93</f>
        <v>347.09050000000002</v>
      </c>
      <c r="AC7" s="22">
        <f t="shared" ref="AC7:AC15" si="13">AB7-AA7</f>
        <v>280.1395</v>
      </c>
      <c r="AD7" s="23" t="str">
        <f t="shared" ref="AD7:AD12" si="14">IF(ISERROR(AB7/AA7*100),,IF(AB7&lt;1,,IF(AB7/AA7*100&lt;0,,IF(AB7/AA7*100&gt;200,"св.200",AB7/AA7*100))))</f>
        <v>св.200</v>
      </c>
      <c r="AE7" s="24">
        <v>6714</v>
      </c>
      <c r="AF7" s="22">
        <f>ROUND(SUM([1]МО!K100:K102)*0.5,0)</f>
        <v>5270</v>
      </c>
      <c r="AG7" s="22">
        <f t="shared" ref="AG7:AG15" si="15">AF7-AE7</f>
        <v>-1444</v>
      </c>
      <c r="AH7" s="23">
        <f t="shared" ref="AH7:AH16" si="16">IF(ISERROR(AF7/AE7*100),,IF(AF7&lt;1,,IF(AF7/AE7*100&lt;0,,IF(AF7/AE7*100&gt;200,"св.200",AF7/AE7*100))))</f>
        <v>78.492701817098592</v>
      </c>
      <c r="AI7" s="22">
        <v>0</v>
      </c>
      <c r="AJ7" s="22">
        <f>SUM([1]МО!$L$94:$X$94)</f>
        <v>0</v>
      </c>
      <c r="AK7" s="22">
        <f t="shared" ref="AK7:AK15" si="17">AJ7-AI7</f>
        <v>0</v>
      </c>
      <c r="AL7" s="23">
        <f t="shared" ref="AL7:AL12" si="18">IF(ISERROR(AJ7/AI7*100),,IF(AJ7&lt;1,,IF(AJ7/AI7*100&lt;0,,IF(AJ7/AI7*100&gt;200,"св.200",AJ7/AI7*100))))</f>
        <v>0</v>
      </c>
      <c r="AM7" s="24">
        <v>0</v>
      </c>
      <c r="AN7" s="22">
        <f>SUM([1]МО!$L$94:$X$94)</f>
        <v>0</v>
      </c>
      <c r="AO7" s="22">
        <f t="shared" ref="AO7:AO15" si="19">AN7-AM7</f>
        <v>0</v>
      </c>
      <c r="AP7" s="23">
        <f t="shared" ref="AP7:AP16" si="20">IF(ISERROR(AN7/AM7*100),,IF(AN7&lt;1,,IF(AN7/AM7*100&lt;0,,IF(AN7/AM7*100&gt;200,"св.200",AN7/AM7*100))))</f>
        <v>0</v>
      </c>
      <c r="AQ7" s="24"/>
      <c r="AR7" s="23"/>
      <c r="AS7" s="22">
        <f t="shared" ref="AS7:AS15" si="21">AR7-AQ7</f>
        <v>0</v>
      </c>
      <c r="AT7" s="23">
        <f t="shared" ref="AT7:AT16" si="22">IF(ISERROR(AR7/AQ7*100),,IF(AR7&lt;1,,IF(AR7/AQ7*100&lt;0,,IF(AR7/AQ7*100&gt;200,"св.200",AR7/AQ7*100))))</f>
        <v>0</v>
      </c>
      <c r="AU7" s="24"/>
      <c r="AV7" s="23"/>
      <c r="AW7" s="22">
        <f t="shared" ref="AW7:AW15" si="23">AV7-AU7</f>
        <v>0</v>
      </c>
      <c r="AX7" s="23">
        <f t="shared" ref="AX7:AX16" si="24">IF(ISERROR(AV7/AU7*100),,IF(AV7&lt;1,,IF(AV7/AU7*100&lt;0,,IF(AV7/AU7*100&gt;200,"св.200",AV7/AU7*100))))</f>
        <v>0</v>
      </c>
      <c r="AY7" s="22">
        <v>0</v>
      </c>
      <c r="AZ7" s="22">
        <f>SUM([1]МО!$Z$94:$AD$94)</f>
        <v>0</v>
      </c>
      <c r="BA7" s="22">
        <f t="shared" ref="BA7:BA15" si="25">AZ7-AY7</f>
        <v>0</v>
      </c>
      <c r="BB7" s="23">
        <f t="shared" ref="BB7:BB12" si="26">IF(ISERROR(AZ7/AY7*100),,IF(AZ7&lt;1,,IF(AZ7/AY7*100&lt;0,,IF(AZ7/AY7*100&gt;200,"св.200",AZ7/AY7*100))))</f>
        <v>0</v>
      </c>
      <c r="BC7" s="22">
        <v>73.632000000000005</v>
      </c>
      <c r="BD7" s="22">
        <f>SUM([1]МО!$BC93:$BD93)</f>
        <v>420.25799999999998</v>
      </c>
      <c r="BE7" s="22">
        <f t="shared" ref="BE7:BE15" si="27">BD7-BC7</f>
        <v>346.62599999999998</v>
      </c>
      <c r="BF7" s="23" t="str">
        <f t="shared" ref="BF7:BF12" si="28">IF(ISERROR(BD7/BC7*100),,IF(BD7&lt;0.5,,IF(BD7/BC7*100&lt;0,,IF(BD7/BC7*100&gt;200,"св.200",BD7/BC7*100))))</f>
        <v>св.200</v>
      </c>
      <c r="BG7" s="22">
        <v>0.18099000000000001</v>
      </c>
      <c r="BH7" s="22">
        <f>SUM([1]МО!$AK$93:$AQ$93)</f>
        <v>0.18099000000000001</v>
      </c>
      <c r="BI7" s="22">
        <f t="shared" ref="BI7:BI15" si="29">BH7-BG7</f>
        <v>0</v>
      </c>
      <c r="BJ7" s="23">
        <f t="shared" ref="BJ7:BJ16" si="30">IF(ISERROR(BH7/BG7*100),,IF(BH7&lt;0.5,,IF(BH7/BG7*100&lt;0,,IF(BH7/BG7*100&gt;200,"св.200",BH7/BG7*100))))</f>
        <v>0</v>
      </c>
    </row>
    <row r="8" spans="1:62" x14ac:dyDescent="0.2">
      <c r="A8" s="21"/>
      <c r="B8" s="17" t="s">
        <v>24</v>
      </c>
      <c r="C8" s="22">
        <f t="shared" si="0"/>
        <v>6215.0000099999997</v>
      </c>
      <c r="D8" s="22">
        <f t="shared" si="0"/>
        <v>7845.7206670000005</v>
      </c>
      <c r="E8" s="22">
        <f t="shared" si="1"/>
        <v>1630.7206570000008</v>
      </c>
      <c r="F8" s="23">
        <f t="shared" si="2"/>
        <v>126.23846587894054</v>
      </c>
      <c r="G8" s="22">
        <v>1023.8948400000002</v>
      </c>
      <c r="H8" s="22">
        <f>SUM([1]МО!$C$98:$E$98)*0.1+[1]МО!F98*0.09</f>
        <v>1623.1285720000001</v>
      </c>
      <c r="I8" s="22">
        <f t="shared" si="3"/>
        <v>599.23373199999992</v>
      </c>
      <c r="J8" s="23">
        <f t="shared" si="4"/>
        <v>158.52492937653636</v>
      </c>
      <c r="K8" s="23">
        <v>0</v>
      </c>
      <c r="L8" s="22">
        <f>SUM([1]МО!$BE$98)</f>
        <v>0</v>
      </c>
      <c r="M8" s="22">
        <f t="shared" si="5"/>
        <v>0</v>
      </c>
      <c r="N8" s="23">
        <f t="shared" si="6"/>
        <v>0</v>
      </c>
      <c r="O8" s="23"/>
      <c r="P8" s="23"/>
      <c r="Q8" s="23">
        <f t="shared" si="7"/>
        <v>0</v>
      </c>
      <c r="R8" s="23">
        <f t="shared" si="8"/>
        <v>0</v>
      </c>
      <c r="S8" s="22">
        <v>4.8768000000000002</v>
      </c>
      <c r="T8" s="22">
        <f>[1]МО!$AS$98*0.3+[1]МО!$AU$98*0.5</f>
        <v>3.3231649999999999</v>
      </c>
      <c r="U8" s="22">
        <f t="shared" si="9"/>
        <v>-1.5536350000000003</v>
      </c>
      <c r="V8" s="23">
        <f t="shared" si="10"/>
        <v>68.142326935695536</v>
      </c>
      <c r="W8" s="22"/>
      <c r="X8" s="22"/>
      <c r="Y8" s="22">
        <f t="shared" si="11"/>
        <v>0</v>
      </c>
      <c r="Z8" s="23">
        <f t="shared" si="12"/>
        <v>0</v>
      </c>
      <c r="AA8" s="22"/>
      <c r="AB8" s="22"/>
      <c r="AC8" s="22">
        <f t="shared" si="13"/>
        <v>0</v>
      </c>
      <c r="AD8" s="23">
        <f t="shared" si="14"/>
        <v>0</v>
      </c>
      <c r="AE8" s="24">
        <v>1889</v>
      </c>
      <c r="AF8" s="22">
        <f>ROUND([1]МО!K98*0.5,0)</f>
        <v>1152</v>
      </c>
      <c r="AG8" s="22">
        <f t="shared" si="15"/>
        <v>-737</v>
      </c>
      <c r="AH8" s="23">
        <f t="shared" si="16"/>
        <v>60.984647961884598</v>
      </c>
      <c r="AI8" s="22">
        <v>2690.94938</v>
      </c>
      <c r="AJ8" s="22">
        <f>SUM([1]МО!$L$98:$Y$98)</f>
        <v>4740.7041399999998</v>
      </c>
      <c r="AK8" s="22">
        <f t="shared" si="17"/>
        <v>2049.7547599999998</v>
      </c>
      <c r="AL8" s="23">
        <f t="shared" si="18"/>
        <v>176.17217831128431</v>
      </c>
      <c r="AM8" s="24">
        <v>1987.6248000000001</v>
      </c>
      <c r="AN8" s="22">
        <f>SUM([1]МО!$L$98:$P$98)</f>
        <v>4546.89599</v>
      </c>
      <c r="AO8" s="22">
        <f t="shared" si="19"/>
        <v>2559.2711899999999</v>
      </c>
      <c r="AP8" s="23" t="str">
        <f t="shared" si="20"/>
        <v>св.200</v>
      </c>
      <c r="AQ8" s="24">
        <v>703.32457999999997</v>
      </c>
      <c r="AR8" s="22">
        <f>SUM([1]МО!$Q$98:$T$98)</f>
        <v>193.80814999999998</v>
      </c>
      <c r="AS8" s="22">
        <f t="shared" si="21"/>
        <v>-509.51643000000001</v>
      </c>
      <c r="AT8" s="23">
        <f t="shared" si="22"/>
        <v>27.556004085624309</v>
      </c>
      <c r="AU8" s="24">
        <v>0</v>
      </c>
      <c r="AV8" s="22">
        <f>SUM([1]МО!$U$98:$X$98)</f>
        <v>0</v>
      </c>
      <c r="AW8" s="22">
        <f t="shared" si="23"/>
        <v>0</v>
      </c>
      <c r="AX8" s="23">
        <f t="shared" si="24"/>
        <v>0</v>
      </c>
      <c r="AY8" s="22">
        <v>606.27899000000002</v>
      </c>
      <c r="AZ8" s="22">
        <f>SUM([1]МО!$Z$98:$AD$98)</f>
        <v>326.56478999999996</v>
      </c>
      <c r="BA8" s="22">
        <f t="shared" si="25"/>
        <v>-279.71420000000006</v>
      </c>
      <c r="BB8" s="23">
        <f t="shared" si="26"/>
        <v>53.863781425115839</v>
      </c>
      <c r="BC8" s="22"/>
      <c r="BD8" s="22"/>
      <c r="BE8" s="22">
        <f t="shared" si="27"/>
        <v>0</v>
      </c>
      <c r="BF8" s="23">
        <f t="shared" si="28"/>
        <v>0</v>
      </c>
      <c r="BG8" s="22"/>
      <c r="BH8" s="22"/>
      <c r="BI8" s="22">
        <f t="shared" si="29"/>
        <v>0</v>
      </c>
      <c r="BJ8" s="23">
        <f t="shared" si="30"/>
        <v>0</v>
      </c>
    </row>
    <row r="9" spans="1:62" x14ac:dyDescent="0.2">
      <c r="A9" s="21"/>
      <c r="B9" s="17" t="s">
        <v>25</v>
      </c>
      <c r="C9" s="22">
        <f t="shared" si="0"/>
        <v>3273.975582</v>
      </c>
      <c r="D9" s="22">
        <f t="shared" si="0"/>
        <v>4403.5603799999999</v>
      </c>
      <c r="E9" s="22">
        <f t="shared" si="1"/>
        <v>1129.5847979999999</v>
      </c>
      <c r="F9" s="23">
        <f t="shared" si="2"/>
        <v>134.50193105319258</v>
      </c>
      <c r="G9" s="22">
        <v>75.72596200000001</v>
      </c>
      <c r="H9" s="22">
        <f>SUM([1]МО!$C$99:$E$99)*0.1+[1]МО!F99*0.09</f>
        <v>161.35195000000002</v>
      </c>
      <c r="I9" s="22">
        <f t="shared" si="3"/>
        <v>85.625988000000007</v>
      </c>
      <c r="J9" s="23" t="str">
        <f t="shared" si="4"/>
        <v>св.200</v>
      </c>
      <c r="K9" s="23">
        <v>0</v>
      </c>
      <c r="L9" s="22">
        <f>SUM([1]МО!$BE$99)</f>
        <v>0</v>
      </c>
      <c r="M9" s="22">
        <f t="shared" si="5"/>
        <v>0</v>
      </c>
      <c r="N9" s="23">
        <f t="shared" si="6"/>
        <v>0</v>
      </c>
      <c r="O9" s="23"/>
      <c r="P9" s="23"/>
      <c r="Q9" s="23">
        <f t="shared" si="7"/>
        <v>0</v>
      </c>
      <c r="R9" s="23">
        <f t="shared" si="8"/>
        <v>0</v>
      </c>
      <c r="S9" s="22">
        <v>0</v>
      </c>
      <c r="T9" s="22">
        <f>[1]МО!$AS$99*0.3+[1]МО!$AU$99*0.5</f>
        <v>0</v>
      </c>
      <c r="U9" s="22">
        <f t="shared" si="9"/>
        <v>0</v>
      </c>
      <c r="V9" s="23">
        <f t="shared" si="10"/>
        <v>0</v>
      </c>
      <c r="W9" s="22"/>
      <c r="X9" s="22"/>
      <c r="Y9" s="22">
        <f t="shared" si="11"/>
        <v>0</v>
      </c>
      <c r="Z9" s="23">
        <f t="shared" si="12"/>
        <v>0</v>
      </c>
      <c r="AA9" s="22"/>
      <c r="AB9" s="22"/>
      <c r="AC9" s="22">
        <f t="shared" si="13"/>
        <v>0</v>
      </c>
      <c r="AD9" s="23">
        <f t="shared" si="14"/>
        <v>0</v>
      </c>
      <c r="AE9" s="24">
        <v>1971</v>
      </c>
      <c r="AF9" s="22">
        <f>ROUND([1]МО!K99*0.5,0)</f>
        <v>1469</v>
      </c>
      <c r="AG9" s="22">
        <f t="shared" si="15"/>
        <v>-502</v>
      </c>
      <c r="AH9" s="23">
        <f t="shared" si="16"/>
        <v>74.530695078640292</v>
      </c>
      <c r="AI9" s="22">
        <v>934.20700999999997</v>
      </c>
      <c r="AJ9" s="22">
        <f>SUM([1]МО!$L$99:$Y$99)</f>
        <v>2556.5442899999998</v>
      </c>
      <c r="AK9" s="22">
        <f t="shared" si="17"/>
        <v>1622.3372799999997</v>
      </c>
      <c r="AL9" s="23" t="str">
        <f t="shared" si="18"/>
        <v>св.200</v>
      </c>
      <c r="AM9" s="24">
        <v>6.8000000000000005E-4</v>
      </c>
      <c r="AN9" s="22">
        <f>SUM([1]МО!$L$99:$P$99)</f>
        <v>2005.1764699999999</v>
      </c>
      <c r="AO9" s="22">
        <f t="shared" si="19"/>
        <v>2005.1757899999998</v>
      </c>
      <c r="AP9" s="23" t="str">
        <f t="shared" si="20"/>
        <v>св.200</v>
      </c>
      <c r="AQ9" s="24">
        <v>934.20632999999998</v>
      </c>
      <c r="AR9" s="22">
        <f>SUM([1]МО!$Q$99:$T$99)</f>
        <v>551.36781999999994</v>
      </c>
      <c r="AS9" s="22">
        <f t="shared" si="21"/>
        <v>-382.83851000000004</v>
      </c>
      <c r="AT9" s="23">
        <f t="shared" si="22"/>
        <v>59.019919079332283</v>
      </c>
      <c r="AU9" s="24">
        <v>0</v>
      </c>
      <c r="AV9" s="22">
        <f>SUM([1]МО!$U$99:$X$99)</f>
        <v>0</v>
      </c>
      <c r="AW9" s="22">
        <f t="shared" si="23"/>
        <v>0</v>
      </c>
      <c r="AX9" s="23">
        <f t="shared" si="24"/>
        <v>0</v>
      </c>
      <c r="AY9" s="22">
        <v>293.04260999999997</v>
      </c>
      <c r="AZ9" s="22">
        <f>SUM([1]МО!$Z$99:$AD$99)</f>
        <v>216.66414</v>
      </c>
      <c r="BA9" s="22">
        <f t="shared" si="25"/>
        <v>-76.378469999999965</v>
      </c>
      <c r="BB9" s="23">
        <f t="shared" si="26"/>
        <v>73.936053190353462</v>
      </c>
      <c r="BC9" s="22"/>
      <c r="BD9" s="22"/>
      <c r="BE9" s="22">
        <f t="shared" si="27"/>
        <v>0</v>
      </c>
      <c r="BF9" s="23">
        <f t="shared" si="28"/>
        <v>0</v>
      </c>
      <c r="BG9" s="22"/>
      <c r="BH9" s="22"/>
      <c r="BI9" s="22">
        <f t="shared" si="29"/>
        <v>0</v>
      </c>
      <c r="BJ9" s="23">
        <f t="shared" si="30"/>
        <v>0</v>
      </c>
    </row>
    <row r="10" spans="1:62" x14ac:dyDescent="0.2">
      <c r="A10" s="21"/>
      <c r="B10" s="17" t="s">
        <v>26</v>
      </c>
      <c r="C10" s="22">
        <f t="shared" si="0"/>
        <v>5598.3263500000003</v>
      </c>
      <c r="D10" s="22">
        <f t="shared" si="0"/>
        <v>5238.3150799999994</v>
      </c>
      <c r="E10" s="22">
        <f t="shared" si="1"/>
        <v>-360.01127000000088</v>
      </c>
      <c r="F10" s="23">
        <f t="shared" si="2"/>
        <v>93.569305404998389</v>
      </c>
      <c r="G10" s="22">
        <v>107.35316</v>
      </c>
      <c r="H10" s="22">
        <f>SUM([1]МО!$C$96:$E$96)*0.1+[1]МО!F96*0.09</f>
        <v>114.39549</v>
      </c>
      <c r="I10" s="22">
        <f t="shared" si="3"/>
        <v>7.0423299999999927</v>
      </c>
      <c r="J10" s="23">
        <f t="shared" si="4"/>
        <v>106.55996525859135</v>
      </c>
      <c r="K10" s="23">
        <v>0</v>
      </c>
      <c r="L10" s="22">
        <f>SUM([1]МО!$BE$96)</f>
        <v>0</v>
      </c>
      <c r="M10" s="22">
        <f t="shared" si="5"/>
        <v>0</v>
      </c>
      <c r="N10" s="23">
        <f t="shared" si="6"/>
        <v>0</v>
      </c>
      <c r="O10" s="23"/>
      <c r="P10" s="23"/>
      <c r="Q10" s="23">
        <f t="shared" si="7"/>
        <v>0</v>
      </c>
      <c r="R10" s="23">
        <f t="shared" si="8"/>
        <v>0</v>
      </c>
      <c r="S10" s="22">
        <v>1.278</v>
      </c>
      <c r="T10" s="22">
        <f>[1]МО!$AS$96*0.3+[1]МО!$AU$96*0.5</f>
        <v>1.278</v>
      </c>
      <c r="U10" s="22">
        <f t="shared" si="9"/>
        <v>0</v>
      </c>
      <c r="V10" s="23">
        <f t="shared" si="10"/>
        <v>100</v>
      </c>
      <c r="W10" s="22"/>
      <c r="X10" s="22"/>
      <c r="Y10" s="22">
        <f t="shared" si="11"/>
        <v>0</v>
      </c>
      <c r="Z10" s="23">
        <f t="shared" si="12"/>
        <v>0</v>
      </c>
      <c r="AA10" s="22"/>
      <c r="AB10" s="22"/>
      <c r="AC10" s="22">
        <f t="shared" si="13"/>
        <v>0</v>
      </c>
      <c r="AD10" s="23">
        <f t="shared" si="14"/>
        <v>0</v>
      </c>
      <c r="AE10" s="24">
        <v>2723</v>
      </c>
      <c r="AF10" s="22">
        <f>ROUND([1]МО!K96*0.5,0)</f>
        <v>1995</v>
      </c>
      <c r="AG10" s="22">
        <f t="shared" si="15"/>
        <v>-728</v>
      </c>
      <c r="AH10" s="23">
        <f t="shared" si="16"/>
        <v>73.264781491002566</v>
      </c>
      <c r="AI10" s="22">
        <v>2116.8771899999997</v>
      </c>
      <c r="AJ10" s="22">
        <f>SUM([1]МО!$L$96:$Y$96)</f>
        <v>2767.8164499999998</v>
      </c>
      <c r="AK10" s="22">
        <f t="shared" si="17"/>
        <v>650.9392600000001</v>
      </c>
      <c r="AL10" s="23">
        <f t="shared" si="18"/>
        <v>130.74997751759042</v>
      </c>
      <c r="AM10" s="24">
        <v>22.2653</v>
      </c>
      <c r="AN10" s="22">
        <f>SUM([1]МО!$L$96:$P$96)</f>
        <v>1367.7516799999999</v>
      </c>
      <c r="AO10" s="22">
        <f t="shared" si="19"/>
        <v>1345.4863799999998</v>
      </c>
      <c r="AP10" s="23" t="str">
        <f t="shared" si="20"/>
        <v>св.200</v>
      </c>
      <c r="AQ10" s="24">
        <v>2094.6118899999997</v>
      </c>
      <c r="AR10" s="22">
        <f>SUM([1]МО!$Q$96:$T$96)</f>
        <v>1400.06477</v>
      </c>
      <c r="AS10" s="22">
        <f t="shared" si="21"/>
        <v>-694.54711999999972</v>
      </c>
      <c r="AT10" s="23">
        <f t="shared" si="22"/>
        <v>66.841250003598532</v>
      </c>
      <c r="AU10" s="24">
        <v>0</v>
      </c>
      <c r="AV10" s="22">
        <f>SUM([1]МО!$U$96:$X$96)</f>
        <v>0</v>
      </c>
      <c r="AW10" s="22">
        <f t="shared" si="23"/>
        <v>0</v>
      </c>
      <c r="AX10" s="23">
        <f t="shared" si="24"/>
        <v>0</v>
      </c>
      <c r="AY10" s="22">
        <v>649.81799999999998</v>
      </c>
      <c r="AZ10" s="22">
        <f>SUM([1]МО!$Z$96:$AD$96)</f>
        <v>359.82514000000003</v>
      </c>
      <c r="BA10" s="22">
        <f t="shared" si="25"/>
        <v>-289.99285999999995</v>
      </c>
      <c r="BB10" s="23">
        <f t="shared" si="26"/>
        <v>55.3732183472911</v>
      </c>
      <c r="BC10" s="22"/>
      <c r="BD10" s="22"/>
      <c r="BE10" s="22">
        <f t="shared" si="27"/>
        <v>0</v>
      </c>
      <c r="BF10" s="23">
        <f t="shared" si="28"/>
        <v>0</v>
      </c>
      <c r="BG10" s="22"/>
      <c r="BH10" s="22"/>
      <c r="BI10" s="22">
        <f t="shared" si="29"/>
        <v>0</v>
      </c>
      <c r="BJ10" s="23">
        <f t="shared" si="30"/>
        <v>0</v>
      </c>
    </row>
    <row r="11" spans="1:62" x14ac:dyDescent="0.2">
      <c r="A11" s="21"/>
      <c r="B11" s="17" t="s">
        <v>27</v>
      </c>
      <c r="C11" s="22">
        <f t="shared" si="0"/>
        <v>23968.937684</v>
      </c>
      <c r="D11" s="22">
        <f t="shared" si="0"/>
        <v>13618.534127999999</v>
      </c>
      <c r="E11" s="22">
        <f t="shared" si="1"/>
        <v>-10350.403556000001</v>
      </c>
      <c r="F11" s="23">
        <f t="shared" si="2"/>
        <v>56.817428905457035</v>
      </c>
      <c r="G11" s="22">
        <v>287.98028400000004</v>
      </c>
      <c r="H11" s="22">
        <f>SUM([1]МО!$C$95:$E$95)*0.1+[1]МО!F95*0.09</f>
        <v>256.62341800000002</v>
      </c>
      <c r="I11" s="22">
        <f t="shared" si="3"/>
        <v>-31.356866000000025</v>
      </c>
      <c r="J11" s="23">
        <f t="shared" si="4"/>
        <v>89.111453893836696</v>
      </c>
      <c r="K11" s="23">
        <v>0</v>
      </c>
      <c r="L11" s="22">
        <f>SUM([1]МО!$BE$95)</f>
        <v>0</v>
      </c>
      <c r="M11" s="22">
        <f t="shared" si="5"/>
        <v>0</v>
      </c>
      <c r="N11" s="23">
        <f t="shared" si="6"/>
        <v>0</v>
      </c>
      <c r="O11" s="23"/>
      <c r="P11" s="23"/>
      <c r="Q11" s="23">
        <f t="shared" si="7"/>
        <v>0</v>
      </c>
      <c r="R11" s="23">
        <f t="shared" si="8"/>
        <v>0</v>
      </c>
      <c r="S11" s="22">
        <v>0.36</v>
      </c>
      <c r="T11" s="22">
        <f>[1]МО!$AS$95*0.3+[1]МО!$AU$95*0.5</f>
        <v>0</v>
      </c>
      <c r="U11" s="22">
        <f t="shared" si="9"/>
        <v>-0.36</v>
      </c>
      <c r="V11" s="23">
        <f t="shared" si="10"/>
        <v>0</v>
      </c>
      <c r="W11" s="22"/>
      <c r="X11" s="22"/>
      <c r="Y11" s="22">
        <f t="shared" si="11"/>
        <v>0</v>
      </c>
      <c r="Z11" s="23">
        <f t="shared" si="12"/>
        <v>0</v>
      </c>
      <c r="AA11" s="22"/>
      <c r="AB11" s="22"/>
      <c r="AC11" s="22">
        <f t="shared" si="13"/>
        <v>0</v>
      </c>
      <c r="AD11" s="23">
        <f t="shared" si="14"/>
        <v>0</v>
      </c>
      <c r="AE11" s="24">
        <v>5969</v>
      </c>
      <c r="AF11" s="22">
        <f>ROUND([1]МО!K95*0.5,0)</f>
        <v>4479</v>
      </c>
      <c r="AG11" s="22">
        <f t="shared" si="15"/>
        <v>-1490</v>
      </c>
      <c r="AH11" s="23">
        <f t="shared" si="16"/>
        <v>75.037694756240583</v>
      </c>
      <c r="AI11" s="22">
        <v>16265.294599999999</v>
      </c>
      <c r="AJ11" s="22">
        <f>SUM([1]МО!$L$95:$Y$95)</f>
        <v>7818.5707499999999</v>
      </c>
      <c r="AK11" s="22">
        <f t="shared" si="17"/>
        <v>-8446.7238499999985</v>
      </c>
      <c r="AL11" s="23">
        <f t="shared" si="18"/>
        <v>48.069038663462024</v>
      </c>
      <c r="AM11" s="24">
        <v>10056.126749999999</v>
      </c>
      <c r="AN11" s="22">
        <f>SUM([1]МО!$L$95:$P$95)</f>
        <v>2817.76757</v>
      </c>
      <c r="AO11" s="22">
        <f t="shared" si="19"/>
        <v>-7238.3591799999995</v>
      </c>
      <c r="AP11" s="23">
        <f t="shared" si="20"/>
        <v>28.020406266259524</v>
      </c>
      <c r="AQ11" s="24">
        <v>6209.0738499999998</v>
      </c>
      <c r="AR11" s="22">
        <f>SUM([1]МО!$Q$95:$T$95)</f>
        <v>5000.8031799999999</v>
      </c>
      <c r="AS11" s="22">
        <f t="shared" si="21"/>
        <v>-1208.2706699999999</v>
      </c>
      <c r="AT11" s="23">
        <f t="shared" si="22"/>
        <v>80.540243211956636</v>
      </c>
      <c r="AU11" s="24">
        <v>9.4E-2</v>
      </c>
      <c r="AV11" s="22">
        <f>SUM([1]МО!$U$95:$X$95)</f>
        <v>0</v>
      </c>
      <c r="AW11" s="22">
        <f t="shared" si="23"/>
        <v>-9.4E-2</v>
      </c>
      <c r="AX11" s="23">
        <f t="shared" si="24"/>
        <v>0</v>
      </c>
      <c r="AY11" s="22">
        <v>1446.3027999999999</v>
      </c>
      <c r="AZ11" s="22">
        <f>SUM([1]МО!$Z$95:$AD$95)</f>
        <v>1064.33996</v>
      </c>
      <c r="BA11" s="22">
        <f t="shared" si="25"/>
        <v>-381.96283999999991</v>
      </c>
      <c r="BB11" s="23">
        <f t="shared" si="26"/>
        <v>73.590396146643712</v>
      </c>
      <c r="BC11" s="22"/>
      <c r="BD11" s="22"/>
      <c r="BE11" s="22">
        <f t="shared" si="27"/>
        <v>0</v>
      </c>
      <c r="BF11" s="23">
        <f t="shared" si="28"/>
        <v>0</v>
      </c>
      <c r="BG11" s="22"/>
      <c r="BH11" s="22"/>
      <c r="BI11" s="22">
        <f t="shared" si="29"/>
        <v>0</v>
      </c>
      <c r="BJ11" s="23">
        <f t="shared" si="30"/>
        <v>0</v>
      </c>
    </row>
    <row r="12" spans="1:62" x14ac:dyDescent="0.2">
      <c r="A12" s="21"/>
      <c r="B12" s="17" t="s">
        <v>28</v>
      </c>
      <c r="C12" s="22">
        <f t="shared" si="0"/>
        <v>14905.997592</v>
      </c>
      <c r="D12" s="22">
        <f t="shared" si="0"/>
        <v>13093.124634</v>
      </c>
      <c r="E12" s="22">
        <f t="shared" si="1"/>
        <v>-1812.8729579999999</v>
      </c>
      <c r="F12" s="23">
        <f t="shared" si="2"/>
        <v>87.83796289506337</v>
      </c>
      <c r="G12" s="22">
        <v>216.32661200000004</v>
      </c>
      <c r="H12" s="22">
        <f>SUM([1]МО!$C$97:$E$97)*0.1+[1]МО!F97*0.09</f>
        <v>472.61119400000001</v>
      </c>
      <c r="I12" s="22">
        <f t="shared" si="3"/>
        <v>256.284582</v>
      </c>
      <c r="J12" s="23" t="str">
        <f t="shared" si="4"/>
        <v>св.200</v>
      </c>
      <c r="K12" s="23">
        <v>0</v>
      </c>
      <c r="L12" s="22">
        <f>SUM([1]МО!$BE$97)</f>
        <v>0</v>
      </c>
      <c r="M12" s="22">
        <f t="shared" si="5"/>
        <v>0</v>
      </c>
      <c r="N12" s="23">
        <f t="shared" si="6"/>
        <v>0</v>
      </c>
      <c r="O12" s="23"/>
      <c r="P12" s="23"/>
      <c r="Q12" s="23">
        <f t="shared" si="7"/>
        <v>0</v>
      </c>
      <c r="R12" s="23">
        <f t="shared" si="8"/>
        <v>0</v>
      </c>
      <c r="S12" s="22">
        <v>0</v>
      </c>
      <c r="T12" s="22">
        <f>[1]МО!$AS$97*0.3+[1]МО!$AU$97*0.5</f>
        <v>4.2300000000000004</v>
      </c>
      <c r="U12" s="22">
        <f t="shared" si="9"/>
        <v>4.2300000000000004</v>
      </c>
      <c r="V12" s="23">
        <f t="shared" si="10"/>
        <v>0</v>
      </c>
      <c r="W12" s="22"/>
      <c r="X12" s="22"/>
      <c r="Y12" s="22">
        <f t="shared" si="11"/>
        <v>0</v>
      </c>
      <c r="Z12" s="23">
        <f t="shared" si="12"/>
        <v>0</v>
      </c>
      <c r="AA12" s="22"/>
      <c r="AB12" s="22"/>
      <c r="AC12" s="22">
        <f t="shared" si="13"/>
        <v>0</v>
      </c>
      <c r="AD12" s="23">
        <f t="shared" si="14"/>
        <v>0</v>
      </c>
      <c r="AE12" s="24">
        <v>7159</v>
      </c>
      <c r="AF12" s="22">
        <f>ROUND([1]МО!K97*0.5,0)</f>
        <v>5358</v>
      </c>
      <c r="AG12" s="22">
        <f t="shared" si="15"/>
        <v>-1801</v>
      </c>
      <c r="AH12" s="23">
        <f t="shared" si="16"/>
        <v>74.842855147366947</v>
      </c>
      <c r="AI12" s="22">
        <v>5949.1435099999999</v>
      </c>
      <c r="AJ12" s="22">
        <f>SUM([1]МО!$L$97:$Y$97)</f>
        <v>6226.7192300000006</v>
      </c>
      <c r="AK12" s="22">
        <f t="shared" si="17"/>
        <v>277.57572000000073</v>
      </c>
      <c r="AL12" s="23">
        <f t="shared" si="18"/>
        <v>104.66580978477691</v>
      </c>
      <c r="AM12" s="24">
        <v>2044.3968</v>
      </c>
      <c r="AN12" s="22">
        <f>SUM([1]МО!$L$97:$P$97)</f>
        <v>3402.58709</v>
      </c>
      <c r="AO12" s="22">
        <f t="shared" si="19"/>
        <v>1358.19029</v>
      </c>
      <c r="AP12" s="23">
        <f t="shared" si="20"/>
        <v>166.43476892548452</v>
      </c>
      <c r="AQ12" s="24">
        <v>3904.7467099999999</v>
      </c>
      <c r="AR12" s="22">
        <f>SUM([1]МО!$Q$97:$T$97)</f>
        <v>2824.1321400000002</v>
      </c>
      <c r="AS12" s="22">
        <f t="shared" si="21"/>
        <v>-1080.6145699999997</v>
      </c>
      <c r="AT12" s="23">
        <f t="shared" si="22"/>
        <v>72.325616736354206</v>
      </c>
      <c r="AU12" s="24">
        <v>0</v>
      </c>
      <c r="AV12" s="22">
        <f>SUM([1]МО!$U$97:$X$97)</f>
        <v>0</v>
      </c>
      <c r="AW12" s="22">
        <f t="shared" si="23"/>
        <v>0</v>
      </c>
      <c r="AX12" s="23">
        <f t="shared" si="24"/>
        <v>0</v>
      </c>
      <c r="AY12" s="22">
        <v>1581.52747</v>
      </c>
      <c r="AZ12" s="22">
        <f>SUM([1]МО!$Z$97:$AD$97)</f>
        <v>1031.56421</v>
      </c>
      <c r="BA12" s="22">
        <f t="shared" si="25"/>
        <v>-549.96325999999999</v>
      </c>
      <c r="BB12" s="23">
        <f t="shared" si="26"/>
        <v>65.225816785844387</v>
      </c>
      <c r="BC12" s="22"/>
      <c r="BD12" s="22"/>
      <c r="BE12" s="22">
        <f t="shared" si="27"/>
        <v>0</v>
      </c>
      <c r="BF12" s="23">
        <f t="shared" si="28"/>
        <v>0</v>
      </c>
      <c r="BG12" s="22"/>
      <c r="BH12" s="22"/>
      <c r="BI12" s="22">
        <f t="shared" si="29"/>
        <v>0</v>
      </c>
      <c r="BJ12" s="23">
        <f t="shared" si="30"/>
        <v>0</v>
      </c>
    </row>
    <row r="13" spans="1:62" x14ac:dyDescent="0.2">
      <c r="A13" s="21"/>
      <c r="B13" s="17" t="s">
        <v>29</v>
      </c>
      <c r="C13" s="22">
        <f t="shared" si="0"/>
        <v>17459.806654</v>
      </c>
      <c r="D13" s="22">
        <f t="shared" si="0"/>
        <v>13525.313144000002</v>
      </c>
      <c r="E13" s="22">
        <f t="shared" si="1"/>
        <v>-3934.4935099999984</v>
      </c>
      <c r="F13" s="23">
        <f>IF(ISERROR(D13/C13*100),,IF(D13&lt;1,,IF(D13/C13*100&lt;0,,IF(D13/C13*100&gt;200,"св.200",D13/C13*100))))</f>
        <v>77.465423369401307</v>
      </c>
      <c r="G13" s="22">
        <v>3.0643440000000002</v>
      </c>
      <c r="H13" s="22">
        <f>SUM([1]МО!$C$100:$F$100)*0.05</f>
        <v>134.01219399999999</v>
      </c>
      <c r="I13" s="22">
        <f t="shared" si="3"/>
        <v>130.94784999999999</v>
      </c>
      <c r="J13" s="23" t="str">
        <f t="shared" si="4"/>
        <v>св.200</v>
      </c>
      <c r="K13" s="23">
        <v>0</v>
      </c>
      <c r="L13" s="22">
        <f>SUM([1]МО!$BE$100)</f>
        <v>0</v>
      </c>
      <c r="M13" s="22">
        <f t="shared" si="5"/>
        <v>0</v>
      </c>
      <c r="N13" s="23">
        <f t="shared" si="6"/>
        <v>0</v>
      </c>
      <c r="O13" s="23"/>
      <c r="P13" s="23"/>
      <c r="Q13" s="23">
        <f t="shared" si="7"/>
        <v>0</v>
      </c>
      <c r="R13" s="23">
        <f>IF(ISERROR(P13/O13*100),,IF(P13&lt;1,,IF(P13/O13*100&lt;0,,IF(P13/O13*100&gt;200,"св.200",P13/O13*100))))</f>
        <v>0</v>
      </c>
      <c r="S13" s="22">
        <v>0</v>
      </c>
      <c r="T13" s="22">
        <f>[1]МО!$AS$100*0.3+[1]МО!$AU$100*0.3</f>
        <v>0</v>
      </c>
      <c r="U13" s="22">
        <f t="shared" si="9"/>
        <v>0</v>
      </c>
      <c r="V13" s="23">
        <f t="shared" si="10"/>
        <v>0</v>
      </c>
      <c r="W13" s="22"/>
      <c r="X13" s="22"/>
      <c r="Y13" s="22"/>
      <c r="Z13" s="23">
        <f>IF(ISERROR(X13/W13*100),,IF(X13&lt;1,,IF(X13/W13*100&lt;0,,IF(X13/W13*100&gt;200,"св.200",X13/W13*100))))</f>
        <v>0</v>
      </c>
      <c r="AA13" s="22"/>
      <c r="AB13" s="22"/>
      <c r="AC13" s="22">
        <f t="shared" si="13"/>
        <v>0</v>
      </c>
      <c r="AD13" s="23">
        <f>IF(ISERROR(AB13/AA13*100),,IF(AB13&lt;1,,IF(AB13/AA13*100&lt;0,,IF(AB13/AA13*100&gt;200,"св.200",AB13/AA13*100))))</f>
        <v>0</v>
      </c>
      <c r="AE13" s="24"/>
      <c r="AF13" s="22"/>
      <c r="AG13" s="22">
        <f t="shared" si="15"/>
        <v>0</v>
      </c>
      <c r="AH13" s="23">
        <f t="shared" si="16"/>
        <v>0</v>
      </c>
      <c r="AI13" s="22">
        <v>15573.882249999999</v>
      </c>
      <c r="AJ13" s="22">
        <f>SUM([1]МО!$L$100:$Y$100)</f>
        <v>12326.236920000001</v>
      </c>
      <c r="AK13" s="22">
        <f t="shared" si="17"/>
        <v>-3247.6453299999976</v>
      </c>
      <c r="AL13" s="23">
        <f>IF(ISERROR(AJ13/AI13*100),,IF(AJ13&lt;1,,IF(AJ13/AI13*100&lt;0,,IF(AJ13/AI13*100&gt;200,"св.200",AJ13/AI13*100))))</f>
        <v>79.146848050684355</v>
      </c>
      <c r="AM13" s="24">
        <v>352.57324</v>
      </c>
      <c r="AN13" s="22">
        <f>SUM([1]МО!$L$100:$P$100)</f>
        <v>1909.0087800000001</v>
      </c>
      <c r="AO13" s="22">
        <f t="shared" si="19"/>
        <v>1556.4355400000002</v>
      </c>
      <c r="AP13" s="23" t="str">
        <f t="shared" si="20"/>
        <v>св.200</v>
      </c>
      <c r="AQ13" s="24">
        <v>15221.309009999999</v>
      </c>
      <c r="AR13" s="22">
        <f>SUM([1]МО!$Q$100:$T$100)</f>
        <v>10417.228140000001</v>
      </c>
      <c r="AS13" s="22">
        <f t="shared" si="21"/>
        <v>-4804.080869999998</v>
      </c>
      <c r="AT13" s="23">
        <f t="shared" si="22"/>
        <v>68.43845120781765</v>
      </c>
      <c r="AU13" s="24">
        <v>0</v>
      </c>
      <c r="AV13" s="22">
        <f>SUM([1]МО!$U$100:$X$100)</f>
        <v>0</v>
      </c>
      <c r="AW13" s="22">
        <f t="shared" si="23"/>
        <v>0</v>
      </c>
      <c r="AX13" s="23">
        <f t="shared" si="24"/>
        <v>0</v>
      </c>
      <c r="AY13" s="22">
        <v>1882.86006</v>
      </c>
      <c r="AZ13" s="22">
        <f>SUM([1]МО!$Z$100:$AD$100)</f>
        <v>1065.06403</v>
      </c>
      <c r="BA13" s="22">
        <f t="shared" si="25"/>
        <v>-817.79602999999997</v>
      </c>
      <c r="BB13" s="23">
        <f>IF(ISERROR(AZ13/AY13*100),,IF(AZ13&lt;1,,IF(AZ13/AY13*100&lt;0,,IF(AZ13/AY13*100&gt;200,"св.200",AZ13/AY13*100))))</f>
        <v>56.56628724707241</v>
      </c>
      <c r="BC13" s="22"/>
      <c r="BD13" s="22"/>
      <c r="BE13" s="22">
        <f t="shared" si="27"/>
        <v>0</v>
      </c>
      <c r="BF13" s="23">
        <f>IF(ISERROR(BD13/BC13*100),,IF(BD13&lt;0.5,,IF(BD13/BC13*100&lt;0,,IF(BD13/BC13*100&gt;200,"св.200",BD13/BC13*100))))</f>
        <v>0</v>
      </c>
      <c r="BG13" s="22"/>
      <c r="BH13" s="22"/>
      <c r="BI13" s="22">
        <f t="shared" si="29"/>
        <v>0</v>
      </c>
      <c r="BJ13" s="23">
        <f t="shared" si="30"/>
        <v>0</v>
      </c>
    </row>
    <row r="14" spans="1:62" x14ac:dyDescent="0.2">
      <c r="A14" s="21"/>
      <c r="B14" s="17" t="s">
        <v>30</v>
      </c>
      <c r="C14" s="22">
        <f t="shared" si="0"/>
        <v>20330.807530499998</v>
      </c>
      <c r="D14" s="22">
        <f t="shared" si="0"/>
        <v>16855.543983</v>
      </c>
      <c r="E14" s="22">
        <f t="shared" si="1"/>
        <v>-3475.2635474999988</v>
      </c>
      <c r="F14" s="23">
        <f>IF(ISERROR(D14/C14*100),,IF(D14&lt;1,,IF(D14/C14*100&lt;0,,IF(D14/C14*100&gt;200,"св.200",D14/C14*100))))</f>
        <v>82.906416568616592</v>
      </c>
      <c r="G14" s="22">
        <v>40.887210500000002</v>
      </c>
      <c r="H14" s="22">
        <f>SUM([1]МО!$C$101:$F$101)*0.05</f>
        <v>41.668213000000009</v>
      </c>
      <c r="I14" s="22">
        <f t="shared" si="3"/>
        <v>0.78100250000000671</v>
      </c>
      <c r="J14" s="23">
        <f t="shared" si="4"/>
        <v>101.91013886848555</v>
      </c>
      <c r="K14" s="23">
        <v>0</v>
      </c>
      <c r="L14" s="22">
        <f>SUM([1]МО!$BE$101)</f>
        <v>0</v>
      </c>
      <c r="M14" s="22">
        <f t="shared" si="5"/>
        <v>0</v>
      </c>
      <c r="N14" s="23">
        <f t="shared" si="6"/>
        <v>0</v>
      </c>
      <c r="O14" s="23"/>
      <c r="P14" s="23"/>
      <c r="Q14" s="23">
        <f t="shared" si="7"/>
        <v>0</v>
      </c>
      <c r="R14" s="23">
        <f>IF(ISERROR(P14/O14*100),,IF(P14&lt;1,,IF(P14/O14*100&lt;0,,IF(P14/O14*100&gt;200,"св.200",P14/O14*100))))</f>
        <v>0</v>
      </c>
      <c r="S14" s="22">
        <v>0</v>
      </c>
      <c r="T14" s="22">
        <f>[1]МО!$AS$101*0.3+[1]МО!$AU$101*0.3</f>
        <v>0.126</v>
      </c>
      <c r="U14" s="22">
        <f t="shared" si="9"/>
        <v>0.126</v>
      </c>
      <c r="V14" s="23">
        <f t="shared" si="10"/>
        <v>0</v>
      </c>
      <c r="W14" s="22"/>
      <c r="X14" s="22"/>
      <c r="Y14" s="22"/>
      <c r="Z14" s="23">
        <f>IF(ISERROR(X14/W14*100),,IF(X14&lt;1,,IF(X14/W14*100&lt;0,,IF(X14/W14*100&gt;200,"св.200",X14/W14*100))))</f>
        <v>0</v>
      </c>
      <c r="AA14" s="22"/>
      <c r="AB14" s="22"/>
      <c r="AC14" s="22">
        <f t="shared" si="13"/>
        <v>0</v>
      </c>
      <c r="AD14" s="23">
        <f>IF(ISERROR(AB14/AA14*100),,IF(AB14&lt;1,,IF(AB14/AA14*100&lt;0,,IF(AB14/AA14*100&gt;200,"св.200",AB14/AA14*100))))</f>
        <v>0</v>
      </c>
      <c r="AE14" s="24"/>
      <c r="AF14" s="22"/>
      <c r="AG14" s="22">
        <f t="shared" si="15"/>
        <v>0</v>
      </c>
      <c r="AH14" s="23">
        <f t="shared" si="16"/>
        <v>0</v>
      </c>
      <c r="AI14" s="22">
        <v>17721.601039999998</v>
      </c>
      <c r="AJ14" s="22">
        <f>SUM([1]МО!$L$101:$Y$101)</f>
        <v>15328.292300000001</v>
      </c>
      <c r="AK14" s="22">
        <f t="shared" si="17"/>
        <v>-2393.3087399999968</v>
      </c>
      <c r="AL14" s="23">
        <f>IF(ISERROR(AJ14/AI14*100),,IF(AJ14&lt;1,,IF(AJ14/AI14*100&lt;0,,IF(AJ14/AI14*100&gt;200,"св.200",AJ14/AI14*100))))</f>
        <v>86.494963211292358</v>
      </c>
      <c r="AM14" s="24">
        <v>753.10560999999996</v>
      </c>
      <c r="AN14" s="22">
        <f>SUM([1]МО!$L$101:$P$101)</f>
        <v>3379.6727099999998</v>
      </c>
      <c r="AO14" s="22">
        <f t="shared" si="19"/>
        <v>2626.5670999999998</v>
      </c>
      <c r="AP14" s="23" t="str">
        <f t="shared" si="20"/>
        <v>св.200</v>
      </c>
      <c r="AQ14" s="24">
        <v>16968.495429999999</v>
      </c>
      <c r="AR14" s="22">
        <f>SUM([1]МО!$Q$101:$T$101)</f>
        <v>11948.61959</v>
      </c>
      <c r="AS14" s="22">
        <f t="shared" si="21"/>
        <v>-5019.8758399999988</v>
      </c>
      <c r="AT14" s="23">
        <f t="shared" si="22"/>
        <v>70.416494139339264</v>
      </c>
      <c r="AU14" s="24">
        <v>0</v>
      </c>
      <c r="AV14" s="22">
        <f>SUM([1]МО!$U$101:$X$101)</f>
        <v>0</v>
      </c>
      <c r="AW14" s="22">
        <f t="shared" si="23"/>
        <v>0</v>
      </c>
      <c r="AX14" s="23">
        <f t="shared" si="24"/>
        <v>0</v>
      </c>
      <c r="AY14" s="22">
        <v>2568.3192799999997</v>
      </c>
      <c r="AZ14" s="22">
        <f>SUM([1]МО!$Z$101:$AD$101)</f>
        <v>1485.4574700000001</v>
      </c>
      <c r="BA14" s="22">
        <f t="shared" si="25"/>
        <v>-1082.8618099999997</v>
      </c>
      <c r="BB14" s="23">
        <f>IF(ISERROR(AZ14/AY14*100),,IF(AZ14&lt;1,,IF(AZ14/AY14*100&lt;0,,IF(AZ14/AY14*100&gt;200,"св.200",AZ14/AY14*100))))</f>
        <v>57.83772607897879</v>
      </c>
      <c r="BC14" s="22"/>
      <c r="BD14" s="22"/>
      <c r="BE14" s="22">
        <f t="shared" si="27"/>
        <v>0</v>
      </c>
      <c r="BF14" s="23">
        <f>IF(ISERROR(BD14/BC14*100),,IF(BD14&lt;0.5,,IF(BD14/BC14*100&lt;0,,IF(BD14/BC14*100&gt;200,"св.200",BD14/BC14*100))))</f>
        <v>0</v>
      </c>
      <c r="BG14" s="22"/>
      <c r="BH14" s="22"/>
      <c r="BI14" s="22">
        <f t="shared" si="29"/>
        <v>0</v>
      </c>
      <c r="BJ14" s="23">
        <f t="shared" si="30"/>
        <v>0</v>
      </c>
    </row>
    <row r="15" spans="1:62" x14ac:dyDescent="0.2">
      <c r="A15" s="21"/>
      <c r="B15" s="17" t="s">
        <v>31</v>
      </c>
      <c r="C15" s="22">
        <f t="shared" si="0"/>
        <v>15493.836890499999</v>
      </c>
      <c r="D15" s="22">
        <f t="shared" si="0"/>
        <v>13870.351127</v>
      </c>
      <c r="E15" s="22">
        <f t="shared" si="1"/>
        <v>-1623.4857634999989</v>
      </c>
      <c r="F15" s="23">
        <f>IF(ISERROR(D15/C15*100),,IF(D15&lt;1,,IF(D15/C15*100&lt;0,,IF(D15/C15*100&gt;200,"св.200",D15/C15*100))))</f>
        <v>89.521731931388572</v>
      </c>
      <c r="G15" s="22">
        <v>41.178020500000002</v>
      </c>
      <c r="H15" s="22">
        <f>SUM([1]МО!$C$102:$F$102)*0.05</f>
        <v>46.915287000000006</v>
      </c>
      <c r="I15" s="22">
        <f t="shared" si="3"/>
        <v>5.737266500000004</v>
      </c>
      <c r="J15" s="23">
        <f t="shared" si="4"/>
        <v>113.93283705806112</v>
      </c>
      <c r="K15" s="23">
        <v>0</v>
      </c>
      <c r="L15" s="22">
        <f>SUM([1]МО!$BE$102)</f>
        <v>0</v>
      </c>
      <c r="M15" s="22">
        <f t="shared" si="5"/>
        <v>0</v>
      </c>
      <c r="N15" s="23">
        <f t="shared" si="6"/>
        <v>0</v>
      </c>
      <c r="O15" s="23"/>
      <c r="P15" s="23"/>
      <c r="Q15" s="23">
        <f t="shared" si="7"/>
        <v>0</v>
      </c>
      <c r="R15" s="23">
        <f>IF(ISERROR(P15/O15*100),,IF(P15&lt;1,,IF(P15/O15*100&lt;0,,IF(P15/O15*100&gt;200,"св.200",P15/O15*100))))</f>
        <v>0</v>
      </c>
      <c r="S15" s="22">
        <v>0</v>
      </c>
      <c r="T15" s="22">
        <f>[1]МО!$AS$102*0.3+[1]МО!$AU$102*0.3</f>
        <v>0.36</v>
      </c>
      <c r="U15" s="22">
        <f t="shared" si="9"/>
        <v>0.36</v>
      </c>
      <c r="V15" s="23">
        <f t="shared" si="10"/>
        <v>0</v>
      </c>
      <c r="W15" s="22"/>
      <c r="X15" s="22"/>
      <c r="Y15" s="22"/>
      <c r="Z15" s="23">
        <f>IF(ISERROR(X15/W15*100),,IF(X15&lt;1,,IF(X15/W15*100&lt;0,,IF(X15/W15*100&gt;200,"св.200",X15/W15*100))))</f>
        <v>0</v>
      </c>
      <c r="AA15" s="22"/>
      <c r="AB15" s="22"/>
      <c r="AC15" s="22">
        <f t="shared" si="13"/>
        <v>0</v>
      </c>
      <c r="AD15" s="23">
        <f>IF(ISERROR(AB15/AA15*100),,IF(AB15&lt;1,,IF(AB15/AA15*100&lt;0,,IF(AB15/AA15*100&gt;200,"св.200",AB15/AA15*100))))</f>
        <v>0</v>
      </c>
      <c r="AE15" s="24"/>
      <c r="AF15" s="22"/>
      <c r="AG15" s="22">
        <f t="shared" si="15"/>
        <v>0</v>
      </c>
      <c r="AH15" s="23">
        <f t="shared" si="16"/>
        <v>0</v>
      </c>
      <c r="AI15" s="22">
        <v>14583.25405</v>
      </c>
      <c r="AJ15" s="22">
        <f>SUM([1]МО!$L$102:$Y$102)</f>
        <v>13343.91741</v>
      </c>
      <c r="AK15" s="22">
        <f t="shared" si="17"/>
        <v>-1239.3366399999995</v>
      </c>
      <c r="AL15" s="23">
        <f>IF(ISERROR(AJ15/AI15*100),,IF(AJ15&lt;1,,IF(AJ15/AI15*100&lt;0,,IF(AJ15/AI15*100&gt;200,"св.200",AJ15/AI15*100))))</f>
        <v>91.501645409516811</v>
      </c>
      <c r="AM15" s="24">
        <v>3819.24757</v>
      </c>
      <c r="AN15" s="22">
        <f>SUM([1]МО!$L$102:$P$102)</f>
        <v>4995.0712699999995</v>
      </c>
      <c r="AO15" s="22">
        <f t="shared" si="19"/>
        <v>1175.8236999999995</v>
      </c>
      <c r="AP15" s="23">
        <f t="shared" si="20"/>
        <v>130.7867892418401</v>
      </c>
      <c r="AQ15" s="24">
        <v>10761.26448</v>
      </c>
      <c r="AR15" s="22">
        <f>SUM([1]МО!$Q$102:$T$102)</f>
        <v>8346.1041399999995</v>
      </c>
      <c r="AS15" s="22">
        <f t="shared" si="21"/>
        <v>-2415.1603400000004</v>
      </c>
      <c r="AT15" s="23">
        <f t="shared" si="22"/>
        <v>77.556909371676369</v>
      </c>
      <c r="AU15" s="24">
        <v>2.742</v>
      </c>
      <c r="AV15" s="22">
        <f>SUM([1]МО!$U$102:$X$102)</f>
        <v>2.742</v>
      </c>
      <c r="AW15" s="22">
        <f t="shared" si="23"/>
        <v>0</v>
      </c>
      <c r="AX15" s="23">
        <f t="shared" si="24"/>
        <v>100</v>
      </c>
      <c r="AY15" s="22">
        <v>869.40481999999997</v>
      </c>
      <c r="AZ15" s="22">
        <f>SUM([1]МО!$Z$102:$AD$102)</f>
        <v>479.15843000000001</v>
      </c>
      <c r="BA15" s="22">
        <f t="shared" si="25"/>
        <v>-390.24638999999996</v>
      </c>
      <c r="BB15" s="23">
        <f>IF(ISERROR(AZ15/AY15*100),,IF(AZ15&lt;1,,IF(AZ15/AY15*100&lt;0,,IF(AZ15/AY15*100&gt;200,"св.200",AZ15/AY15*100))))</f>
        <v>55.113385499749135</v>
      </c>
      <c r="BC15" s="22"/>
      <c r="BD15" s="22"/>
      <c r="BE15" s="22">
        <f t="shared" si="27"/>
        <v>0</v>
      </c>
      <c r="BF15" s="23">
        <f>IF(ISERROR(BD15/BC15*100),,IF(BD15&lt;0.5,,IF(BD15/BC15*100&lt;0,,IF(BD15/BC15*100&gt;200,"св.200",BD15/BC15*100))))</f>
        <v>0</v>
      </c>
      <c r="BG15" s="22"/>
      <c r="BH15" s="22"/>
      <c r="BI15" s="22">
        <f t="shared" si="29"/>
        <v>0</v>
      </c>
      <c r="BJ15" s="23">
        <f t="shared" si="30"/>
        <v>0</v>
      </c>
    </row>
    <row r="16" spans="1:62" s="29" customFormat="1" x14ac:dyDescent="0.2">
      <c r="A16" s="25"/>
      <c r="B16" s="26" t="s">
        <v>32</v>
      </c>
      <c r="C16" s="27">
        <f>SUM(C7:C15)</f>
        <v>123750.69386571999</v>
      </c>
      <c r="D16" s="27">
        <f>SUM(D7:D15)</f>
        <v>108683.67213696</v>
      </c>
      <c r="E16" s="27">
        <f>SUM(E7:E15)</f>
        <v>-15067.021728759993</v>
      </c>
      <c r="F16" s="28">
        <f>IF(ISERROR(D16/C16*100),,IF(D16&lt;1,,IF(D16/C16*100&lt;0,,IF(D16/C16*100&gt;200,"св.200",D16/C16*100))))</f>
        <v>87.824697172923337</v>
      </c>
      <c r="G16" s="27">
        <f>SUM(G7:G15)</f>
        <v>9082.4697833999999</v>
      </c>
      <c r="H16" s="27">
        <f>SUM(H7:H15)</f>
        <v>14885.407074000001</v>
      </c>
      <c r="I16" s="27">
        <f>SUM(I7:I15)</f>
        <v>5802.9372906000008</v>
      </c>
      <c r="J16" s="28">
        <f t="shared" si="4"/>
        <v>163.8916223118739</v>
      </c>
      <c r="K16" s="27">
        <f>SUM(K7:K15)</f>
        <v>0</v>
      </c>
      <c r="L16" s="27">
        <f>SUM(L7:L15)</f>
        <v>0</v>
      </c>
      <c r="M16" s="27">
        <f>SUM(M7:M15)</f>
        <v>0</v>
      </c>
      <c r="N16" s="28">
        <f t="shared" si="6"/>
        <v>0</v>
      </c>
      <c r="O16" s="27">
        <f>SUM(O7:O15)</f>
        <v>940.25111231999983</v>
      </c>
      <c r="P16" s="27">
        <f>SUM(P7:P15)</f>
        <v>1132.9219029600001</v>
      </c>
      <c r="Q16" s="27">
        <f>SUM(Q7:Q15)</f>
        <v>192.67079064000029</v>
      </c>
      <c r="R16" s="28">
        <f>IF(ISERROR(P16/O16*100),,IF(P16&lt;1,,IF(P16/O16*100&lt;0,,IF(P16/O16*100&gt;200,"св.200",P16/O16*100))))</f>
        <v>120.49141852803548</v>
      </c>
      <c r="S16" s="27">
        <f>SUM(S7:S15)</f>
        <v>13.0296</v>
      </c>
      <c r="T16" s="27">
        <f>SUM(T7:T15)</f>
        <v>19.282330000000002</v>
      </c>
      <c r="U16" s="27">
        <f>SUM(U7:U15)</f>
        <v>6.2527300000000015</v>
      </c>
      <c r="V16" s="28">
        <f t="shared" si="10"/>
        <v>147.98865659728619</v>
      </c>
      <c r="W16" s="27">
        <f>SUM(W7:W15)</f>
        <v>1416.41632</v>
      </c>
      <c r="X16" s="27">
        <f>SUM(X7:X15)</f>
        <v>1018.0916800000001</v>
      </c>
      <c r="Y16" s="27">
        <f>SUM(Y7:Y15)</f>
        <v>-398.32463999999993</v>
      </c>
      <c r="Z16" s="28">
        <f>IF(ISERROR(X16/W16*100),,IF(X16&lt;1,,IF(X16/W16*100&lt;0,,IF(X16/W16*100&gt;200,"св.200",X16/W16*100))))</f>
        <v>71.877997000204005</v>
      </c>
      <c r="AA16" s="27">
        <f>SUM(AA7:AA15)</f>
        <v>66.950999999999993</v>
      </c>
      <c r="AB16" s="27">
        <f>SUM(AB7:AB15)</f>
        <v>347.09050000000002</v>
      </c>
      <c r="AC16" s="27">
        <f>SUM(AC7:AC15)</f>
        <v>280.1395</v>
      </c>
      <c r="AD16" s="28" t="str">
        <f>IF(ISERROR(AB16/AA16*100),,IF(AB16&lt;1,,IF(AB16/AA16*100&lt;0,,IF(AB16/AA16*100&gt;200,"св.200",AB16/AA16*100))))</f>
        <v>св.200</v>
      </c>
      <c r="AE16" s="27">
        <f>SUM(AE7:AE15)</f>
        <v>26425</v>
      </c>
      <c r="AF16" s="27">
        <f>SUM(AF7:AF15)</f>
        <v>19723</v>
      </c>
      <c r="AG16" s="27">
        <f>SUM(AG7:AG15)</f>
        <v>-6702</v>
      </c>
      <c r="AH16" s="28">
        <f t="shared" si="16"/>
        <v>74.637653736991481</v>
      </c>
      <c r="AI16" s="27">
        <v>75835.209029999998</v>
      </c>
      <c r="AJ16" s="27">
        <f>SUM(AJ7:AJ15)</f>
        <v>65108.801490000005</v>
      </c>
      <c r="AK16" s="27">
        <f>SUM(AK7:AK15)</f>
        <v>-10726.407539999991</v>
      </c>
      <c r="AL16" s="28">
        <f>IF(ISERROR(AJ16/AI16*100),,IF(AJ16&lt;1,,IF(AJ16/AI16*100&lt;0,,IF(AJ16/AI16*100&gt;200,"св.200",AJ16/AI16*100))))</f>
        <v>85.855636613651725</v>
      </c>
      <c r="AM16" s="27">
        <f>SUM(AM7:AM15)</f>
        <v>19035.340749999999</v>
      </c>
      <c r="AN16" s="27">
        <f>SUM(AN7:AN15)</f>
        <v>24423.931559999997</v>
      </c>
      <c r="AO16" s="27">
        <f>SUM(AO7:AO15)</f>
        <v>5388.5908099999997</v>
      </c>
      <c r="AP16" s="28">
        <f t="shared" si="20"/>
        <v>128.30834961543832</v>
      </c>
      <c r="AQ16" s="27">
        <f>SUM(AQ7:AQ15)</f>
        <v>56797.032279999999</v>
      </c>
      <c r="AR16" s="27">
        <f>SUM(AR7:AR15)</f>
        <v>40682.127930000002</v>
      </c>
      <c r="AS16" s="27">
        <f>SUM(AS7:AS15)</f>
        <v>-16114.904349999997</v>
      </c>
      <c r="AT16" s="28">
        <f t="shared" si="22"/>
        <v>71.627207086179823</v>
      </c>
      <c r="AU16" s="27">
        <f>SUM(AU7:AU15)</f>
        <v>2.8359999999999999</v>
      </c>
      <c r="AV16" s="27">
        <f>SUM(AV7:AV15)</f>
        <v>2.742</v>
      </c>
      <c r="AW16" s="27">
        <f>SUM(AW7:AW15)</f>
        <v>-9.4E-2</v>
      </c>
      <c r="AX16" s="28">
        <f t="shared" si="24"/>
        <v>96.685472496473906</v>
      </c>
      <c r="AY16" s="27">
        <f>SUM(AY7:AY15)</f>
        <v>9897.5540299999993</v>
      </c>
      <c r="AZ16" s="27">
        <f>SUM(AZ7:AZ15)</f>
        <v>6028.6381700000002</v>
      </c>
      <c r="BA16" s="27">
        <f>SUM(BA7:BA15)</f>
        <v>-3868.9158599999996</v>
      </c>
      <c r="BB16" s="28">
        <f>IF(ISERROR(AZ16/AY16*100),,IF(AZ16&lt;1,,IF(AZ16/AY16*100&lt;0,,IF(AZ16/AY16*100&gt;200,"св.200",AZ16/AY16*100))))</f>
        <v>60.910384037580243</v>
      </c>
      <c r="BC16" s="27">
        <f>SUM(BC7:BC15)</f>
        <v>73.632000000000005</v>
      </c>
      <c r="BD16" s="27">
        <f>SUM(BD7:BD15)</f>
        <v>420.25799999999998</v>
      </c>
      <c r="BE16" s="27">
        <f>SUM(BE7:BE15)</f>
        <v>346.62599999999998</v>
      </c>
      <c r="BF16" s="28" t="str">
        <f>IF(ISERROR(BD16/BC16*100),,IF(BD16&lt;0.5,,IF(BD16/BC16*100&lt;0,,IF(BD16/BC16*100&gt;200,"св.200",BD16/BC16*100))))</f>
        <v>св.200</v>
      </c>
      <c r="BG16" s="27">
        <f>SUM(BG7:BG15)</f>
        <v>0.18099000000000001</v>
      </c>
      <c r="BH16" s="27">
        <f>SUM(BH7:BH15)</f>
        <v>0.18099000000000001</v>
      </c>
      <c r="BI16" s="27">
        <f>SUM(BI7:BI15)</f>
        <v>0</v>
      </c>
      <c r="BJ16" s="28">
        <f t="shared" si="30"/>
        <v>0</v>
      </c>
    </row>
    <row r="17" spans="2:62" s="14" customFormat="1" x14ac:dyDescent="0.2">
      <c r="F17" s="30">
        <f>IF(ISERROR(D17/C17*100),,D17/C17*100)</f>
        <v>0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Z17" s="31">
        <f>IF(ISERROR(X17/W17*100),,IF(X17&lt;1,,IF(X17/W17*100&lt;0,,IF(X17/W17*100&gt;200,"св.200",X17/W17*100))))</f>
        <v>0</v>
      </c>
      <c r="AA17" s="31"/>
      <c r="AB17" s="31"/>
      <c r="AC17" s="31"/>
      <c r="AD17" s="31"/>
      <c r="AE17" s="31"/>
      <c r="AF17" s="31"/>
      <c r="AG17" s="31"/>
      <c r="AH17" s="31"/>
      <c r="BH17" s="14" t="s">
        <v>33</v>
      </c>
    </row>
    <row r="18" spans="2:62" ht="15.75" x14ac:dyDescent="0.25">
      <c r="B18" s="32" t="s">
        <v>34</v>
      </c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U18" s="52"/>
      <c r="V18" s="52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2:62" x14ac:dyDescent="0.2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</row>
    <row r="20" spans="2:62" x14ac:dyDescent="0.2">
      <c r="B20" s="34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</row>
    <row r="21" spans="2:62" ht="15" x14ac:dyDescent="0.25">
      <c r="D21" s="37"/>
      <c r="F21" s="38"/>
      <c r="G21" s="38"/>
      <c r="H21" s="38"/>
      <c r="I21" s="38"/>
      <c r="J21" s="38"/>
      <c r="K21" s="38"/>
      <c r="L21" s="38"/>
      <c r="M21" s="38"/>
      <c r="N21" s="38"/>
    </row>
    <row r="24" spans="2:62" x14ac:dyDescent="0.2">
      <c r="AF24" s="37"/>
    </row>
  </sheetData>
  <mergeCells count="23">
    <mergeCell ref="BC5:BF5"/>
    <mergeCell ref="BG5:BJ5"/>
    <mergeCell ref="C18:R18"/>
    <mergeCell ref="U18:V18"/>
    <mergeCell ref="S5:V5"/>
    <mergeCell ref="W5:Z5"/>
    <mergeCell ref="AA5:AD5"/>
    <mergeCell ref="AE5:AH5"/>
    <mergeCell ref="AI5:AL5"/>
    <mergeCell ref="AM5:AP5"/>
    <mergeCell ref="B4:B6"/>
    <mergeCell ref="C4:F4"/>
    <mergeCell ref="O4:BJ4"/>
    <mergeCell ref="C5:C6"/>
    <mergeCell ref="D5:D6"/>
    <mergeCell ref="E5:E6"/>
    <mergeCell ref="F5:F6"/>
    <mergeCell ref="G5:J5"/>
    <mergeCell ref="K5:N5"/>
    <mergeCell ref="O5:R5"/>
    <mergeCell ref="AQ5:AT5"/>
    <mergeCell ref="AU5:AX5"/>
    <mergeCell ref="AY5:B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01.08.2021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2021-10-18T07:43:46Z</dcterms:modified>
</cp:coreProperties>
</file>